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elmuthoffrichter/Desktop/"/>
    </mc:Choice>
  </mc:AlternateContent>
  <xr:revisionPtr revIDLastSave="0" documentId="13_ncr:1_{C23A4EC0-B9A3-DA46-8CF9-A1320C3F38E3}" xr6:coauthVersionLast="36" xr6:coauthVersionMax="36" xr10:uidLastSave="{00000000-0000-0000-0000-000000000000}"/>
  <bookViews>
    <workbookView xWindow="40880" yWindow="4000" windowWidth="10000" windowHeight="16100" tabRatio="500" xr2:uid="{00000000-000D-0000-FFFF-FFFF00000000}"/>
  </bookViews>
  <sheets>
    <sheet name="Navigation" sheetId="1" r:id="rId1"/>
  </sheets>
  <definedNames>
    <definedName name="_c">Navigation!$H$17</definedName>
    <definedName name="_d">Navigation!$C$17</definedName>
    <definedName name="_oz1">Navigation!$G$13</definedName>
    <definedName name="_oz2">Navigation!$G$21</definedName>
    <definedName name="aza">Navigation!$W$8</definedName>
    <definedName name="Breite">Navigation!$AL$52</definedName>
    <definedName name="Breite°">Navigation!$AL$51</definedName>
    <definedName name="deka">Navigation!$M$43</definedName>
    <definedName name="dekb">Navigation!$M$52</definedName>
    <definedName name="dira">Navigation!$V$40</definedName>
    <definedName name="dirb">Navigation!$V$41</definedName>
    <definedName name="dt">Navigation!$AM$39</definedName>
    <definedName name="EW">Navigation!$V$38</definedName>
    <definedName name="grta">Navigation!$M$42</definedName>
    <definedName name="GRTA°">Navigation!$AL$55</definedName>
    <definedName name="grtb">Navigation!$M$51</definedName>
    <definedName name="hma">Navigation!$M$13</definedName>
    <definedName name="hma°">Navigation!$M$11</definedName>
    <definedName name="hmav">Navigation!$W$10</definedName>
    <definedName name="hmb">Navigation!$O$13</definedName>
    <definedName name="hmb°">Navigation!$O$11</definedName>
    <definedName name="Länge">Navigation!$AM$58</definedName>
    <definedName name="Länge°">Navigation!$AL$58</definedName>
    <definedName name="LHA">Navigation!$AM$38</definedName>
    <definedName name="TG">Navigation!$X$39</definedName>
    <definedName name="U">Navigation!$W$23</definedName>
    <definedName name="vb">Navigation!$AU$9</definedName>
    <definedName name="vl">Navigation!$AU$10</definedName>
  </definedNames>
  <calcPr calcId="181029"/>
  <customWorkbookViews>
    <customWorkbookView name="Microsoft Office-Anwender - Persönliche Ansicht" guid="{C5C8DA39-C784-9F41-A13A-E8B47EB72839}" mergeInterval="0" personalView="1" windowWidth="1920" windowHeight="894" tabRatio="500" activeSheetId="1"/>
  </customWorkbookViews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W23" i="1" l="1"/>
  <c r="X39" i="1" l="1"/>
  <c r="V39" i="1" s="1"/>
  <c r="G20" i="1"/>
  <c r="F20" i="1" s="1"/>
  <c r="AM39" i="1" l="1"/>
  <c r="M7" i="1" l="1"/>
  <c r="M8" i="1" s="1"/>
  <c r="K24" i="1" l="1"/>
  <c r="L24" i="1" s="1"/>
  <c r="C14" i="1" l="1"/>
  <c r="C22" i="1"/>
  <c r="AV13" i="1" l="1"/>
  <c r="AS10" i="1"/>
  <c r="AS9" i="1"/>
  <c r="AU9" i="1" s="1"/>
  <c r="AS8" i="1"/>
  <c r="AS7" i="1"/>
  <c r="E58" i="1" l="1"/>
  <c r="C58" i="1"/>
  <c r="O10" i="1" l="1"/>
  <c r="M10" i="1"/>
  <c r="O7" i="1"/>
  <c r="O8" i="1" s="1"/>
  <c r="K16" i="1"/>
  <c r="M9" i="1" s="1"/>
  <c r="M11" i="1" s="1"/>
  <c r="M13" i="1" s="1"/>
  <c r="W28" i="1" s="1"/>
  <c r="V28" i="1" s="1"/>
  <c r="R8" i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K26" i="1"/>
  <c r="M24" i="1" l="1"/>
  <c r="K27" i="1"/>
  <c r="O9" i="1"/>
  <c r="O11" i="1" s="1"/>
  <c r="K25" i="1"/>
  <c r="L25" i="1" s="1"/>
  <c r="O13" i="1" l="1"/>
  <c r="W29" i="1" s="1"/>
  <c r="V29" i="1" s="1"/>
  <c r="O24" i="1"/>
  <c r="N24" i="1"/>
  <c r="L31" i="1" s="1"/>
  <c r="N25" i="1"/>
  <c r="O25" i="1"/>
  <c r="M25" i="1"/>
  <c r="P25" i="1"/>
  <c r="P24" i="1"/>
  <c r="O12" i="1"/>
  <c r="P12" i="1" l="1"/>
  <c r="G63" i="1" s="1"/>
  <c r="F63" i="1"/>
  <c r="M31" i="1"/>
  <c r="K31" i="1"/>
  <c r="O31" i="1" s="1"/>
  <c r="N31" i="1" s="1"/>
  <c r="R31" i="1" l="1"/>
  <c r="P31" i="1"/>
  <c r="Q31" i="1" s="1"/>
  <c r="K32" i="1"/>
  <c r="O32" i="1" s="1"/>
  <c r="N32" i="1" s="1"/>
  <c r="R32" i="1" s="1"/>
  <c r="M32" i="1"/>
  <c r="L32" i="1"/>
  <c r="N37" i="1" l="1"/>
  <c r="P32" i="1"/>
  <c r="Q32" i="1" s="1"/>
  <c r="L37" i="1" s="1"/>
  <c r="L38" i="1" s="1"/>
  <c r="L39" i="1" l="1"/>
  <c r="L42" i="1" l="1"/>
  <c r="M42" i="1" l="1"/>
  <c r="C59" i="1"/>
  <c r="D59" i="1" s="1"/>
  <c r="AL55" i="1"/>
  <c r="AM55" i="1" s="1"/>
  <c r="H2" i="1" l="1"/>
  <c r="F12" i="1" l="1"/>
  <c r="F13" i="1"/>
  <c r="M12" i="1" l="1"/>
  <c r="E15" i="1"/>
  <c r="F21" i="1"/>
  <c r="E23" i="1"/>
  <c r="N12" i="1" l="1"/>
  <c r="D63" i="1" s="1"/>
  <c r="C63" i="1"/>
  <c r="N39" i="1"/>
  <c r="L43" i="1" s="1"/>
  <c r="AA8" i="1" l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M43" i="1"/>
  <c r="W24" i="1" s="1"/>
  <c r="C60" i="1"/>
  <c r="D60" i="1" s="1"/>
  <c r="W26" i="1" l="1"/>
  <c r="V26" i="1" s="1"/>
  <c r="V24" i="1"/>
  <c r="Z8" i="1"/>
  <c r="Z9" i="1"/>
  <c r="Z10" i="1" l="1"/>
  <c r="Z11" i="1" l="1"/>
  <c r="Z12" i="1" l="1"/>
  <c r="Z13" i="1" l="1"/>
  <c r="Z14" i="1" l="1"/>
  <c r="Z15" i="1" l="1"/>
  <c r="Z16" i="1" l="1"/>
  <c r="Z17" i="1" l="1"/>
  <c r="Z18" i="1" l="1"/>
  <c r="Z19" i="1" l="1"/>
  <c r="Z20" i="1" l="1"/>
  <c r="Z21" i="1" l="1"/>
  <c r="Z22" i="1" l="1"/>
  <c r="Z23" i="1" l="1"/>
  <c r="Z24" i="1" l="1"/>
  <c r="Z25" i="1" l="1"/>
  <c r="Z26" i="1" l="1"/>
  <c r="Z27" i="1" l="1"/>
  <c r="Z28" i="1" l="1"/>
  <c r="Z29" i="1" l="1"/>
  <c r="Z30" i="1" l="1"/>
  <c r="Z31" i="1" l="1"/>
  <c r="Z32" i="1" l="1"/>
  <c r="Z33" i="1" l="1"/>
  <c r="Z34" i="1" l="1"/>
  <c r="Z35" i="1" l="1"/>
  <c r="Z36" i="1" l="1"/>
  <c r="Z37" i="1" l="1"/>
  <c r="Z38" i="1" l="1"/>
  <c r="Z39" i="1" l="1"/>
  <c r="Z40" i="1" l="1"/>
  <c r="Z41" i="1" l="1"/>
  <c r="Z42" i="1" l="1"/>
  <c r="Z43" i="1" l="1"/>
  <c r="Z44" i="1" l="1"/>
  <c r="Z45" i="1" l="1"/>
  <c r="Z46" i="1" l="1"/>
  <c r="Z47" i="1" l="1"/>
  <c r="Z48" i="1" l="1"/>
  <c r="Z49" i="1" l="1"/>
  <c r="Z50" i="1" l="1"/>
  <c r="Z51" i="1" l="1"/>
  <c r="Z52" i="1" l="1"/>
  <c r="Z53" i="1" l="1"/>
  <c r="Z54" i="1" l="1"/>
  <c r="Z55" i="1" l="1"/>
  <c r="Z56" i="1" l="1"/>
  <c r="Z57" i="1" l="1"/>
  <c r="Z58" i="1" l="1"/>
  <c r="Z59" i="1" l="1"/>
  <c r="L26" i="1" l="1"/>
  <c r="L27" i="1"/>
  <c r="O27" i="1" l="1"/>
  <c r="N27" i="1"/>
  <c r="L34" i="1" s="1"/>
  <c r="M27" i="1"/>
  <c r="P27" i="1"/>
  <c r="N26" i="1"/>
  <c r="L33" i="1" s="1"/>
  <c r="M26" i="1"/>
  <c r="P26" i="1"/>
  <c r="O26" i="1"/>
  <c r="K33" i="1" l="1"/>
  <c r="O33" i="1" s="1"/>
  <c r="N33" i="1" s="1"/>
  <c r="R33" i="1" s="1"/>
  <c r="M33" i="1"/>
  <c r="M34" i="1"/>
  <c r="K34" i="1"/>
  <c r="O34" i="1" s="1"/>
  <c r="N34" i="1" s="1"/>
  <c r="R34" i="1" s="1"/>
  <c r="N46" i="1" l="1"/>
  <c r="N48" i="1" s="1"/>
  <c r="L52" i="1" s="1"/>
  <c r="M52" i="1" s="1"/>
  <c r="W25" i="1" s="1"/>
  <c r="P34" i="1"/>
  <c r="Q34" i="1" s="1"/>
  <c r="P33" i="1"/>
  <c r="Q33" i="1" s="1"/>
  <c r="W27" i="1" l="1"/>
  <c r="V27" i="1" s="1"/>
  <c r="V25" i="1"/>
  <c r="F60" i="1"/>
  <c r="G60" i="1" s="1"/>
  <c r="L46" i="1"/>
  <c r="L47" i="1" s="1"/>
  <c r="L48" i="1" s="1"/>
  <c r="L51" i="1" s="1"/>
  <c r="M51" i="1" l="1"/>
  <c r="W30" i="1" s="1"/>
  <c r="F59" i="1"/>
  <c r="G59" i="1" s="1"/>
  <c r="W31" i="1" l="1"/>
  <c r="V31" i="1" s="1"/>
  <c r="V30" i="1"/>
  <c r="W32" i="1" l="1"/>
  <c r="V32" i="1" s="1"/>
  <c r="W35" i="1"/>
  <c r="V35" i="1" s="1"/>
  <c r="W36" i="1"/>
  <c r="V36" i="1" s="1"/>
  <c r="W33" i="1"/>
  <c r="V33" i="1" s="1"/>
  <c r="W37" i="1" l="1"/>
  <c r="V41" i="1"/>
  <c r="W34" i="1"/>
  <c r="V37" i="1"/>
  <c r="V34" i="1"/>
  <c r="V40" i="1" l="1"/>
  <c r="V38" i="1"/>
  <c r="AB18" i="1"/>
  <c r="AC18" i="1" s="1"/>
  <c r="AB14" i="1"/>
  <c r="AB15" i="1"/>
  <c r="AB10" i="1"/>
  <c r="AC10" i="1" s="1"/>
  <c r="AB9" i="1"/>
  <c r="AC9" i="1" s="1"/>
  <c r="AB13" i="1"/>
  <c r="AC13" i="1" s="1"/>
  <c r="AB19" i="1"/>
  <c r="AC19" i="1" s="1"/>
  <c r="AB11" i="1"/>
  <c r="AB17" i="1"/>
  <c r="AC17" i="1"/>
  <c r="AB12" i="1"/>
  <c r="AC11" i="1" s="1"/>
  <c r="AB20" i="1"/>
  <c r="AC20" i="1" s="1"/>
  <c r="AB21" i="1"/>
  <c r="AB16" i="1"/>
  <c r="AC16" i="1" s="1"/>
  <c r="AB8" i="1"/>
  <c r="AB37" i="1" s="1"/>
  <c r="AC15" i="1" l="1"/>
  <c r="AB35" i="1"/>
  <c r="AB24" i="1"/>
  <c r="AC24" i="1" s="1"/>
  <c r="AB55" i="1"/>
  <c r="AB36" i="1"/>
  <c r="AC36" i="1" s="1"/>
  <c r="AB34" i="1"/>
  <c r="AC34" i="1" s="1"/>
  <c r="AB31" i="1"/>
  <c r="AC31" i="1" s="1"/>
  <c r="AB30" i="1"/>
  <c r="AC30" i="1" s="1"/>
  <c r="AB26" i="1"/>
  <c r="AB27" i="1"/>
  <c r="AC27" i="1" s="1"/>
  <c r="AB48" i="1"/>
  <c r="AB44" i="1"/>
  <c r="AB42" i="1"/>
  <c r="AB53" i="1"/>
  <c r="AC12" i="1"/>
  <c r="AB43" i="1"/>
  <c r="AC43" i="1" s="1"/>
  <c r="AB52" i="1"/>
  <c r="AC52" i="1" s="1"/>
  <c r="AB28" i="1"/>
  <c r="AB40" i="1"/>
  <c r="AC40" i="1" s="1"/>
  <c r="AB54" i="1"/>
  <c r="AC54" i="1" s="1"/>
  <c r="AB51" i="1"/>
  <c r="AC51" i="1" s="1"/>
  <c r="AB49" i="1"/>
  <c r="AC49" i="1" s="1"/>
  <c r="AB25" i="1"/>
  <c r="AB32" i="1"/>
  <c r="AB57" i="1"/>
  <c r="AB59" i="1"/>
  <c r="AB46" i="1"/>
  <c r="AB33" i="1"/>
  <c r="AC33" i="1" s="1"/>
  <c r="AB39" i="1"/>
  <c r="AB45" i="1"/>
  <c r="AC45" i="1" s="1"/>
  <c r="AB22" i="1"/>
  <c r="AC22" i="1" s="1"/>
  <c r="AB58" i="1"/>
  <c r="AC58" i="1" s="1"/>
  <c r="AB29" i="1"/>
  <c r="AC29" i="1" s="1"/>
  <c r="AC8" i="1"/>
  <c r="AB56" i="1"/>
  <c r="AC56" i="1" s="1"/>
  <c r="AB23" i="1"/>
  <c r="AC23" i="1" s="1"/>
  <c r="AB50" i="1"/>
  <c r="AB41" i="1"/>
  <c r="AC41" i="1" s="1"/>
  <c r="AC14" i="1"/>
  <c r="AB38" i="1"/>
  <c r="AB47" i="1"/>
  <c r="AC47" i="1" s="1"/>
  <c r="AC26" i="1" l="1"/>
  <c r="AF8" i="1"/>
  <c r="AC28" i="1"/>
  <c r="AC55" i="1"/>
  <c r="AC39" i="1"/>
  <c r="AC46" i="1"/>
  <c r="AC53" i="1"/>
  <c r="AC35" i="1"/>
  <c r="AC50" i="1"/>
  <c r="AC57" i="1"/>
  <c r="AC42" i="1"/>
  <c r="AC38" i="1"/>
  <c r="AC32" i="1"/>
  <c r="AC44" i="1"/>
  <c r="AC21" i="1"/>
  <c r="AC25" i="1"/>
  <c r="AC48" i="1"/>
  <c r="AC37" i="1"/>
  <c r="AF9" i="1" l="1"/>
  <c r="AE8" i="1"/>
  <c r="AG8" i="1" s="1"/>
  <c r="AE9" i="1" l="1"/>
  <c r="AG9" i="1" s="1"/>
  <c r="AF10" i="1"/>
  <c r="AF11" i="1" l="1"/>
  <c r="AE10" i="1"/>
  <c r="AG10" i="1" s="1"/>
  <c r="AH9" i="1" s="1"/>
  <c r="AH8" i="1"/>
  <c r="AE11" i="1" l="1"/>
  <c r="AG11" i="1" s="1"/>
  <c r="AF12" i="1"/>
  <c r="AE12" i="1" l="1"/>
  <c r="AG12" i="1" s="1"/>
  <c r="AF13" i="1"/>
  <c r="AH11" i="1"/>
  <c r="AH10" i="1"/>
  <c r="AE13" i="1" l="1"/>
  <c r="AG13" i="1" s="1"/>
  <c r="AF14" i="1"/>
  <c r="AE14" i="1" l="1"/>
  <c r="AG14" i="1" s="1"/>
  <c r="AH13" i="1" s="1"/>
  <c r="AF15" i="1"/>
  <c r="AH12" i="1"/>
  <c r="AF16" i="1" l="1"/>
  <c r="AE15" i="1"/>
  <c r="AG15" i="1" s="1"/>
  <c r="AH14" i="1" l="1"/>
  <c r="AF17" i="1"/>
  <c r="AE16" i="1"/>
  <c r="AG16" i="1" s="1"/>
  <c r="AE17" i="1" l="1"/>
  <c r="AG17" i="1" s="1"/>
  <c r="AF18" i="1"/>
  <c r="AH15" i="1"/>
  <c r="AF19" i="1" l="1"/>
  <c r="AE18" i="1"/>
  <c r="AG18" i="1" s="1"/>
  <c r="AH17" i="1" s="1"/>
  <c r="AH16" i="1"/>
  <c r="AF20" i="1" l="1"/>
  <c r="AE19" i="1"/>
  <c r="AG19" i="1" s="1"/>
  <c r="AF21" i="1" l="1"/>
  <c r="AE20" i="1"/>
  <c r="AG20" i="1" s="1"/>
  <c r="AH18" i="1"/>
  <c r="AF22" i="1" l="1"/>
  <c r="AE21" i="1"/>
  <c r="AG21" i="1" s="1"/>
  <c r="AH19" i="1"/>
  <c r="AE22" i="1" l="1"/>
  <c r="AG22" i="1" s="1"/>
  <c r="AF23" i="1"/>
  <c r="AH20" i="1"/>
  <c r="AE23" i="1" l="1"/>
  <c r="AG23" i="1" s="1"/>
  <c r="AF24" i="1"/>
  <c r="AH22" i="1"/>
  <c r="AH21" i="1"/>
  <c r="AF25" i="1" l="1"/>
  <c r="AE24" i="1"/>
  <c r="AG24" i="1" s="1"/>
  <c r="AH23" i="1" l="1"/>
  <c r="AE25" i="1"/>
  <c r="AG25" i="1" s="1"/>
  <c r="AF26" i="1"/>
  <c r="AE26" i="1" l="1"/>
  <c r="AG26" i="1" s="1"/>
  <c r="AF27" i="1"/>
  <c r="AH25" i="1"/>
  <c r="AH24" i="1"/>
  <c r="AF28" i="1" l="1"/>
  <c r="AE27" i="1"/>
  <c r="AG27" i="1" s="1"/>
  <c r="AH26" i="1" s="1"/>
  <c r="AF29" i="1" l="1"/>
  <c r="AE28" i="1"/>
  <c r="AG28" i="1" s="1"/>
  <c r="AF30" i="1" l="1"/>
  <c r="AE30" i="1" s="1"/>
  <c r="AG30" i="1" s="1"/>
  <c r="AE29" i="1"/>
  <c r="AG29" i="1" s="1"/>
  <c r="AH29" i="1" s="1"/>
  <c r="AH27" i="1"/>
  <c r="V6" i="1" l="1"/>
  <c r="AH28" i="1"/>
  <c r="V7" i="1" l="1"/>
  <c r="W8" i="1" s="1"/>
  <c r="AF35" i="1"/>
  <c r="AF36" i="1" l="1"/>
  <c r="AE35" i="1"/>
  <c r="W9" i="1"/>
  <c r="V8" i="1"/>
  <c r="C62" i="1" l="1"/>
  <c r="D62" i="1"/>
  <c r="W10" i="1"/>
  <c r="V9" i="1"/>
  <c r="AF37" i="1"/>
  <c r="AE36" i="1"/>
  <c r="AF38" i="1" l="1"/>
  <c r="AE37" i="1"/>
  <c r="AG37" i="1"/>
  <c r="AG35" i="1"/>
  <c r="V10" i="1"/>
  <c r="AG36" i="1"/>
  <c r="AH36" i="1" s="1"/>
  <c r="AH35" i="1" l="1"/>
  <c r="AF39" i="1"/>
  <c r="AE38" i="1"/>
  <c r="AG38" i="1" s="1"/>
  <c r="AE39" i="1" l="1"/>
  <c r="AG39" i="1" s="1"/>
  <c r="AF40" i="1"/>
  <c r="AH37" i="1"/>
  <c r="AF41" i="1" l="1"/>
  <c r="AE40" i="1"/>
  <c r="AG40" i="1" s="1"/>
  <c r="AH38" i="1"/>
  <c r="AH39" i="1" l="1"/>
  <c r="AF42" i="1"/>
  <c r="AE41" i="1"/>
  <c r="AG41" i="1" s="1"/>
  <c r="AE42" i="1" l="1"/>
  <c r="AG42" i="1" s="1"/>
  <c r="AF43" i="1"/>
  <c r="AH40" i="1"/>
  <c r="AE43" i="1" l="1"/>
  <c r="AG43" i="1" s="1"/>
  <c r="AH42" i="1" s="1"/>
  <c r="AF44" i="1"/>
  <c r="AH41" i="1"/>
  <c r="AF45" i="1" l="1"/>
  <c r="AE44" i="1"/>
  <c r="AG44" i="1" s="1"/>
  <c r="AH43" i="1" l="1"/>
  <c r="AE45" i="1"/>
  <c r="AG45" i="1" s="1"/>
  <c r="AF46" i="1"/>
  <c r="AF47" i="1" l="1"/>
  <c r="AE46" i="1"/>
  <c r="AG46" i="1" s="1"/>
  <c r="AH45" i="1" s="1"/>
  <c r="AH44" i="1"/>
  <c r="AE47" i="1" l="1"/>
  <c r="AG47" i="1" s="1"/>
  <c r="AF48" i="1"/>
  <c r="AF49" i="1" l="1"/>
  <c r="AE48" i="1"/>
  <c r="AG48" i="1" s="1"/>
  <c r="AH47" i="1" s="1"/>
  <c r="AH46" i="1"/>
  <c r="AF50" i="1" l="1"/>
  <c r="AE49" i="1"/>
  <c r="AG49" i="1" s="1"/>
  <c r="AF51" i="1" l="1"/>
  <c r="AE50" i="1"/>
  <c r="AG50" i="1" s="1"/>
  <c r="AH48" i="1"/>
  <c r="AE51" i="1" l="1"/>
  <c r="AG51" i="1" s="1"/>
  <c r="AF52" i="1"/>
  <c r="AH49" i="1"/>
  <c r="AE52" i="1" l="1"/>
  <c r="AG52" i="1" s="1"/>
  <c r="AH51" i="1" s="1"/>
  <c r="AF53" i="1"/>
  <c r="AH50" i="1"/>
  <c r="AE53" i="1" l="1"/>
  <c r="AG53" i="1" s="1"/>
  <c r="AH52" i="1" s="1"/>
  <c r="AF54" i="1"/>
  <c r="AE54" i="1" l="1"/>
  <c r="AG54" i="1" s="1"/>
  <c r="AF55" i="1"/>
  <c r="AH53" i="1"/>
  <c r="AE55" i="1" l="1"/>
  <c r="AG55" i="1" s="1"/>
  <c r="AF56" i="1"/>
  <c r="AH54" i="1"/>
  <c r="AE56" i="1" l="1"/>
  <c r="AG56" i="1" s="1"/>
  <c r="AH55" i="1" s="1"/>
  <c r="AF57" i="1"/>
  <c r="AE57" i="1" l="1"/>
  <c r="AG57" i="1" s="1"/>
  <c r="AF58" i="1"/>
  <c r="AH56" i="1"/>
  <c r="AE58" i="1" l="1"/>
  <c r="AG58" i="1" s="1"/>
  <c r="AF59" i="1"/>
  <c r="AE59" i="1" s="1"/>
  <c r="AG59" i="1" s="1"/>
  <c r="AH57" i="1"/>
  <c r="AK8" i="1" l="1"/>
  <c r="AH58" i="1"/>
  <c r="AJ8" i="1" l="1"/>
  <c r="AL8" i="1" s="1"/>
  <c r="AK9" i="1"/>
  <c r="AJ9" i="1" l="1"/>
  <c r="AL9" i="1" s="1"/>
  <c r="AM8" i="1" s="1"/>
  <c r="AK10" i="1"/>
  <c r="AK11" i="1" l="1"/>
  <c r="AJ10" i="1"/>
  <c r="AL10" i="1" s="1"/>
  <c r="AM9" i="1" s="1"/>
  <c r="AK12" i="1" l="1"/>
  <c r="AJ11" i="1"/>
  <c r="AL11" i="1" s="1"/>
  <c r="AK13" i="1" l="1"/>
  <c r="AJ12" i="1"/>
  <c r="AL12" i="1" s="1"/>
  <c r="AM10" i="1"/>
  <c r="AK14" i="1" l="1"/>
  <c r="AJ13" i="1"/>
  <c r="AL13" i="1" s="1"/>
  <c r="AM11" i="1"/>
  <c r="AJ14" i="1" l="1"/>
  <c r="AL14" i="1" s="1"/>
  <c r="AK15" i="1"/>
  <c r="AM12" i="1"/>
  <c r="AJ15" i="1" l="1"/>
  <c r="AL15" i="1" s="1"/>
  <c r="AM14" i="1" s="1"/>
  <c r="AK16" i="1"/>
  <c r="AM13" i="1"/>
  <c r="AJ16" i="1" l="1"/>
  <c r="AL16" i="1" s="1"/>
  <c r="AM15" i="1" s="1"/>
  <c r="AK17" i="1"/>
  <c r="AK18" i="1" l="1"/>
  <c r="AJ17" i="1"/>
  <c r="AL17" i="1" s="1"/>
  <c r="AM16" i="1" s="1"/>
  <c r="AK19" i="1" l="1"/>
  <c r="AJ18" i="1"/>
  <c r="AL18" i="1" s="1"/>
  <c r="AK20" i="1" l="1"/>
  <c r="AJ19" i="1"/>
  <c r="AL19" i="1" s="1"/>
  <c r="AM17" i="1"/>
  <c r="AK21" i="1" l="1"/>
  <c r="AJ20" i="1"/>
  <c r="AL20" i="1" s="1"/>
  <c r="AM18" i="1"/>
  <c r="AJ21" i="1" l="1"/>
  <c r="AL21" i="1" s="1"/>
  <c r="AK22" i="1"/>
  <c r="AM19" i="1"/>
  <c r="AJ22" i="1" l="1"/>
  <c r="AL22" i="1" s="1"/>
  <c r="AM21" i="1" s="1"/>
  <c r="AK23" i="1"/>
  <c r="AM20" i="1"/>
  <c r="AK24" i="1" l="1"/>
  <c r="AJ23" i="1"/>
  <c r="AL23" i="1" s="1"/>
  <c r="AM22" i="1" s="1"/>
  <c r="AK25" i="1" l="1"/>
  <c r="AJ24" i="1"/>
  <c r="AL24" i="1" s="1"/>
  <c r="AK26" i="1" l="1"/>
  <c r="AJ25" i="1"/>
  <c r="AL25" i="1" s="1"/>
  <c r="AM23" i="1"/>
  <c r="AJ26" i="1" l="1"/>
  <c r="AL26" i="1" s="1"/>
  <c r="AK27" i="1"/>
  <c r="AM24" i="1"/>
  <c r="AK28" i="1" l="1"/>
  <c r="AJ27" i="1"/>
  <c r="AL27" i="1" s="1"/>
  <c r="AM26" i="1" s="1"/>
  <c r="AM25" i="1"/>
  <c r="AJ28" i="1" l="1"/>
  <c r="AL28" i="1" s="1"/>
  <c r="AK29" i="1"/>
  <c r="AK30" i="1" l="1"/>
  <c r="AJ30" i="1" s="1"/>
  <c r="AL30" i="1" s="1"/>
  <c r="AJ29" i="1"/>
  <c r="AL29" i="1" s="1"/>
  <c r="AM29" i="1" s="1"/>
  <c r="AM27" i="1"/>
  <c r="AM28" i="1" l="1"/>
  <c r="AL49" i="1"/>
  <c r="AL50" i="1" l="1"/>
  <c r="AK50" i="1" s="1"/>
  <c r="AM50" i="1" s="1"/>
  <c r="AK49" i="1"/>
  <c r="AM49" i="1" s="1"/>
  <c r="AL51" i="1" s="1"/>
  <c r="AL52" i="1" l="1"/>
  <c r="AL53" i="1"/>
  <c r="C25" i="1" s="1"/>
  <c r="AP59" i="1"/>
  <c r="AP58" i="1" s="1"/>
  <c r="AP37" i="1"/>
  <c r="AN53" i="1"/>
  <c r="E25" i="1" s="1"/>
  <c r="AQ37" i="1" l="1"/>
  <c r="AP38" i="1"/>
  <c r="AP36" i="1"/>
  <c r="AM53" i="1"/>
  <c r="D25" i="1" s="1"/>
  <c r="AU10" i="1"/>
  <c r="AL54" i="1"/>
  <c r="AM54" i="1" l="1"/>
  <c r="AL56" i="1"/>
  <c r="AQ36" i="1"/>
  <c r="AP35" i="1"/>
  <c r="AQ38" i="1"/>
  <c r="AP39" i="1"/>
  <c r="AS37" i="1"/>
  <c r="AV37" i="1" s="1"/>
  <c r="AR37" i="1"/>
  <c r="AU37" i="1" s="1"/>
  <c r="AT37" i="1"/>
  <c r="AW37" i="1" s="1"/>
  <c r="AS36" i="1" l="1"/>
  <c r="AV36" i="1" s="1"/>
  <c r="AR36" i="1"/>
  <c r="AU36" i="1" s="1"/>
  <c r="AT36" i="1"/>
  <c r="AW36" i="1" s="1"/>
  <c r="AQ39" i="1"/>
  <c r="AP40" i="1"/>
  <c r="AR38" i="1"/>
  <c r="AU38" i="1" s="1"/>
  <c r="AS38" i="1"/>
  <c r="AV38" i="1" s="1"/>
  <c r="AT38" i="1"/>
  <c r="AW38" i="1" s="1"/>
  <c r="AQ35" i="1"/>
  <c r="AP34" i="1"/>
  <c r="AL57" i="1"/>
  <c r="AM56" i="1"/>
  <c r="AQ34" i="1" l="1"/>
  <c r="AP33" i="1"/>
  <c r="AS35" i="1"/>
  <c r="AV35" i="1" s="1"/>
  <c r="AR35" i="1"/>
  <c r="AU35" i="1" s="1"/>
  <c r="AT35" i="1"/>
  <c r="AW35" i="1" s="1"/>
  <c r="AM57" i="1"/>
  <c r="AX59" i="1"/>
  <c r="AX58" i="1" s="1"/>
  <c r="AL58" i="1"/>
  <c r="AN59" i="1"/>
  <c r="H25" i="1" s="1"/>
  <c r="AQ40" i="1"/>
  <c r="AP41" i="1"/>
  <c r="AR39" i="1"/>
  <c r="AU39" i="1" s="1"/>
  <c r="AS39" i="1"/>
  <c r="AV39" i="1" s="1"/>
  <c r="AT39" i="1"/>
  <c r="AW39" i="1" s="1"/>
  <c r="AP42" i="1" l="1"/>
  <c r="AQ41" i="1"/>
  <c r="AS40" i="1"/>
  <c r="AV40" i="1" s="1"/>
  <c r="AR40" i="1"/>
  <c r="AU40" i="1" s="1"/>
  <c r="AT40" i="1"/>
  <c r="AW40" i="1" s="1"/>
  <c r="AP32" i="1"/>
  <c r="AQ33" i="1"/>
  <c r="AM58" i="1"/>
  <c r="AL38" i="1" s="1"/>
  <c r="AM38" i="1" s="1"/>
  <c r="AL59" i="1"/>
  <c r="F25" i="1" s="1"/>
  <c r="AR34" i="1"/>
  <c r="AU34" i="1" s="1"/>
  <c r="AS34" i="1"/>
  <c r="AV34" i="1" s="1"/>
  <c r="AT34" i="1"/>
  <c r="AW34" i="1" s="1"/>
  <c r="C26" i="1" l="1"/>
  <c r="C61" i="1"/>
  <c r="D61" i="1" s="1"/>
  <c r="AR33" i="1"/>
  <c r="AU33" i="1" s="1"/>
  <c r="AS33" i="1"/>
  <c r="AV33" i="1" s="1"/>
  <c r="AT33" i="1"/>
  <c r="AW33" i="1" s="1"/>
  <c r="AP31" i="1"/>
  <c r="AQ32" i="1"/>
  <c r="AR41" i="1"/>
  <c r="AU41" i="1" s="1"/>
  <c r="AS41" i="1"/>
  <c r="AV41" i="1" s="1"/>
  <c r="AT41" i="1"/>
  <c r="AW41" i="1" s="1"/>
  <c r="AM59" i="1"/>
  <c r="G25" i="1" s="1"/>
  <c r="AQ42" i="1"/>
  <c r="AP43" i="1"/>
  <c r="AS32" i="1" l="1"/>
  <c r="AV32" i="1" s="1"/>
  <c r="AR32" i="1"/>
  <c r="AU32" i="1" s="1"/>
  <c r="AT32" i="1"/>
  <c r="AW32" i="1" s="1"/>
  <c r="AP30" i="1"/>
  <c r="AQ31" i="1"/>
  <c r="AQ43" i="1"/>
  <c r="AP44" i="1"/>
  <c r="AR42" i="1"/>
  <c r="AU42" i="1" s="1"/>
  <c r="AS42" i="1"/>
  <c r="AV42" i="1" s="1"/>
  <c r="AT42" i="1"/>
  <c r="AW42" i="1" s="1"/>
  <c r="AP45" i="1" l="1"/>
  <c r="AQ44" i="1"/>
  <c r="AR43" i="1"/>
  <c r="AU43" i="1" s="1"/>
  <c r="AS43" i="1"/>
  <c r="AV43" i="1" s="1"/>
  <c r="AT43" i="1"/>
  <c r="AW43" i="1" s="1"/>
  <c r="AR31" i="1"/>
  <c r="AU31" i="1" s="1"/>
  <c r="AS31" i="1"/>
  <c r="AV31" i="1" s="1"/>
  <c r="AT31" i="1"/>
  <c r="AW31" i="1" s="1"/>
  <c r="AQ30" i="1"/>
  <c r="AP29" i="1"/>
  <c r="AP28" i="1" l="1"/>
  <c r="AQ29" i="1"/>
  <c r="AR30" i="1"/>
  <c r="AU30" i="1" s="1"/>
  <c r="AS30" i="1"/>
  <c r="AV30" i="1" s="1"/>
  <c r="AT30" i="1"/>
  <c r="AW30" i="1" s="1"/>
  <c r="AS44" i="1"/>
  <c r="AV44" i="1" s="1"/>
  <c r="AR44" i="1"/>
  <c r="AU44" i="1" s="1"/>
  <c r="AT44" i="1"/>
  <c r="AW44" i="1" s="1"/>
  <c r="AQ45" i="1"/>
  <c r="AP46" i="1"/>
  <c r="AQ46" i="1" l="1"/>
  <c r="AP47" i="1"/>
  <c r="AR45" i="1"/>
  <c r="AU45" i="1" s="1"/>
  <c r="AS45" i="1"/>
  <c r="AV45" i="1" s="1"/>
  <c r="AT45" i="1"/>
  <c r="AW45" i="1" s="1"/>
  <c r="AR29" i="1"/>
  <c r="AU29" i="1" s="1"/>
  <c r="AS29" i="1"/>
  <c r="AV29" i="1" s="1"/>
  <c r="AT29" i="1"/>
  <c r="AW29" i="1" s="1"/>
  <c r="AP27" i="1"/>
  <c r="AQ28" i="1"/>
  <c r="AR28" i="1" l="1"/>
  <c r="AU28" i="1" s="1"/>
  <c r="AS28" i="1"/>
  <c r="AV28" i="1" s="1"/>
  <c r="AT28" i="1"/>
  <c r="AW28" i="1" s="1"/>
  <c r="AQ27" i="1"/>
  <c r="AP26" i="1"/>
  <c r="AQ47" i="1"/>
  <c r="AP48" i="1"/>
  <c r="AR46" i="1"/>
  <c r="AU46" i="1" s="1"/>
  <c r="AS46" i="1"/>
  <c r="AV46" i="1" s="1"/>
  <c r="AT46" i="1"/>
  <c r="AW46" i="1" s="1"/>
  <c r="AQ48" i="1" l="1"/>
  <c r="AP49" i="1"/>
  <c r="AS47" i="1"/>
  <c r="AV47" i="1" s="1"/>
  <c r="AR47" i="1"/>
  <c r="AU47" i="1" s="1"/>
  <c r="AT47" i="1"/>
  <c r="AW47" i="1" s="1"/>
  <c r="AP25" i="1"/>
  <c r="AQ26" i="1"/>
  <c r="AR27" i="1"/>
  <c r="AU27" i="1" s="1"/>
  <c r="AS27" i="1"/>
  <c r="AV27" i="1" s="1"/>
  <c r="AT27" i="1"/>
  <c r="AW27" i="1" s="1"/>
  <c r="AR26" i="1" l="1"/>
  <c r="AU26" i="1" s="1"/>
  <c r="AS26" i="1"/>
  <c r="AV26" i="1" s="1"/>
  <c r="AT26" i="1"/>
  <c r="AW26" i="1" s="1"/>
  <c r="AP24" i="1"/>
  <c r="AQ25" i="1"/>
  <c r="AP50" i="1"/>
  <c r="AQ49" i="1"/>
  <c r="AS48" i="1"/>
  <c r="AV48" i="1" s="1"/>
  <c r="AR48" i="1"/>
  <c r="AU48" i="1" s="1"/>
  <c r="AT48" i="1"/>
  <c r="AW48" i="1" s="1"/>
  <c r="AR49" i="1" l="1"/>
  <c r="AU49" i="1" s="1"/>
  <c r="AS49" i="1"/>
  <c r="AV49" i="1" s="1"/>
  <c r="AT49" i="1"/>
  <c r="AW49" i="1" s="1"/>
  <c r="AQ50" i="1"/>
  <c r="AP51" i="1"/>
  <c r="AR25" i="1"/>
  <c r="AU25" i="1" s="1"/>
  <c r="AS25" i="1"/>
  <c r="AV25" i="1" s="1"/>
  <c r="AT25" i="1"/>
  <c r="AW25" i="1" s="1"/>
  <c r="AQ24" i="1"/>
  <c r="AP23" i="1"/>
  <c r="AP22" i="1" l="1"/>
  <c r="AQ23" i="1"/>
  <c r="AR24" i="1"/>
  <c r="AU24" i="1" s="1"/>
  <c r="AS24" i="1"/>
  <c r="AV24" i="1" s="1"/>
  <c r="AT24" i="1"/>
  <c r="AW24" i="1" s="1"/>
  <c r="AQ51" i="1"/>
  <c r="AP52" i="1"/>
  <c r="AS50" i="1"/>
  <c r="AV50" i="1" s="1"/>
  <c r="AR50" i="1"/>
  <c r="AU50" i="1" s="1"/>
  <c r="AT50" i="1"/>
  <c r="AW50" i="1" s="1"/>
  <c r="AQ52" i="1" l="1"/>
  <c r="AP53" i="1"/>
  <c r="AR51" i="1"/>
  <c r="AU51" i="1" s="1"/>
  <c r="AS51" i="1"/>
  <c r="AV51" i="1" s="1"/>
  <c r="AT51" i="1"/>
  <c r="AW51" i="1" s="1"/>
  <c r="AS23" i="1"/>
  <c r="AV23" i="1" s="1"/>
  <c r="AR23" i="1"/>
  <c r="AU23" i="1" s="1"/>
  <c r="AT23" i="1"/>
  <c r="AW23" i="1" s="1"/>
  <c r="AQ22" i="1"/>
  <c r="AP21" i="1"/>
  <c r="AQ21" i="1" l="1"/>
  <c r="AP20" i="1"/>
  <c r="AS22" i="1"/>
  <c r="AV22" i="1" s="1"/>
  <c r="AR22" i="1"/>
  <c r="AU22" i="1" s="1"/>
  <c r="AT22" i="1"/>
  <c r="AW22" i="1" s="1"/>
  <c r="AQ53" i="1"/>
  <c r="AP54" i="1"/>
  <c r="AS52" i="1"/>
  <c r="AV52" i="1" s="1"/>
  <c r="AR52" i="1"/>
  <c r="AU52" i="1" s="1"/>
  <c r="AT52" i="1"/>
  <c r="AW52" i="1" s="1"/>
  <c r="AP55" i="1" l="1"/>
  <c r="AQ54" i="1"/>
  <c r="AR53" i="1"/>
  <c r="AU53" i="1" s="1"/>
  <c r="AS53" i="1"/>
  <c r="AV53" i="1" s="1"/>
  <c r="AT53" i="1"/>
  <c r="AW53" i="1" s="1"/>
  <c r="AP19" i="1"/>
  <c r="AQ20" i="1"/>
  <c r="AR21" i="1"/>
  <c r="AU21" i="1" s="1"/>
  <c r="AS21" i="1"/>
  <c r="AV21" i="1" s="1"/>
  <c r="AT21" i="1"/>
  <c r="AW21" i="1" s="1"/>
  <c r="AR20" i="1" l="1"/>
  <c r="AU20" i="1" s="1"/>
  <c r="AS20" i="1"/>
  <c r="AV20" i="1" s="1"/>
  <c r="AT20" i="1"/>
  <c r="AW20" i="1" s="1"/>
  <c r="AP18" i="1"/>
  <c r="AQ19" i="1"/>
  <c r="AR54" i="1"/>
  <c r="AU54" i="1" s="1"/>
  <c r="AS54" i="1"/>
  <c r="AV54" i="1" s="1"/>
  <c r="AT54" i="1"/>
  <c r="AW54" i="1" s="1"/>
  <c r="AP56" i="1"/>
  <c r="AQ55" i="1"/>
  <c r="AS55" i="1" l="1"/>
  <c r="AV55" i="1" s="1"/>
  <c r="AR55" i="1"/>
  <c r="AU55" i="1" s="1"/>
  <c r="AT55" i="1"/>
  <c r="AW55" i="1" s="1"/>
  <c r="AQ56" i="1"/>
  <c r="AP57" i="1"/>
  <c r="AQ57" i="1" s="1"/>
  <c r="AR19" i="1"/>
  <c r="AU19" i="1" s="1"/>
  <c r="AS19" i="1"/>
  <c r="AV19" i="1" s="1"/>
  <c r="AT19" i="1"/>
  <c r="AW19" i="1" s="1"/>
  <c r="AQ18" i="1"/>
  <c r="AP17" i="1"/>
  <c r="AQ17" i="1" s="1"/>
  <c r="AR18" i="1" l="1"/>
  <c r="AU18" i="1" s="1"/>
  <c r="AS18" i="1"/>
  <c r="AV18" i="1" s="1"/>
  <c r="AT18" i="1"/>
  <c r="AW18" i="1" s="1"/>
  <c r="AR17" i="1"/>
  <c r="AU17" i="1" s="1"/>
  <c r="AS17" i="1"/>
  <c r="AV17" i="1" s="1"/>
  <c r="AT17" i="1"/>
  <c r="AW17" i="1" s="1"/>
  <c r="AR57" i="1"/>
  <c r="AU57" i="1" s="1"/>
  <c r="AS57" i="1"/>
  <c r="AV57" i="1" s="1"/>
  <c r="AT57" i="1"/>
  <c r="AW57" i="1" s="1"/>
  <c r="AS56" i="1"/>
  <c r="AV56" i="1" s="1"/>
  <c r="AR56" i="1"/>
  <c r="AU56" i="1" s="1"/>
  <c r="AT56" i="1"/>
  <c r="AW56" i="1" s="1"/>
</calcChain>
</file>

<file path=xl/sharedStrings.xml><?xml version="1.0" encoding="utf-8"?>
<sst xmlns="http://schemas.openxmlformats.org/spreadsheetml/2006/main" count="194" uniqueCount="152">
  <si>
    <t>Messung 1</t>
  </si>
  <si>
    <t>Datum:</t>
  </si>
  <si>
    <t>Uhrzeit UT1:</t>
  </si>
  <si>
    <t>Messung 2</t>
  </si>
  <si>
    <t>Sextantenablesung:</t>
  </si>
  <si>
    <t>Augeshöhe:</t>
  </si>
  <si>
    <t>Versegelung</t>
  </si>
  <si>
    <t>Strecke:</t>
  </si>
  <si>
    <t>Kurs:</t>
  </si>
  <si>
    <t>Bogemaß</t>
  </si>
  <si>
    <t>Namen</t>
  </si>
  <si>
    <t>d</t>
  </si>
  <si>
    <t>j</t>
  </si>
  <si>
    <t>Monat</t>
  </si>
  <si>
    <t>Grt</t>
  </si>
  <si>
    <t>grta</t>
  </si>
  <si>
    <t>hma</t>
  </si>
  <si>
    <t>deka</t>
  </si>
  <si>
    <t>dekb</t>
  </si>
  <si>
    <t>Grad</t>
  </si>
  <si>
    <t>hmb</t>
  </si>
  <si>
    <t>Zuwachs =</t>
  </si>
  <si>
    <t xml:space="preserve"> nm</t>
  </si>
  <si>
    <t>m</t>
  </si>
  <si>
    <t>Diff 1 =</t>
  </si>
  <si>
    <t>Diff 2 =</t>
  </si>
  <si>
    <t>STANDORT:</t>
  </si>
  <si>
    <t>Ergebnis</t>
  </si>
  <si>
    <t>UR</t>
  </si>
  <si>
    <t>Einstellungen</t>
  </si>
  <si>
    <t xml:space="preserve">Indexberichtigung Beob. 1: </t>
  </si>
  <si>
    <t xml:space="preserve">Indexberichtigung Beob. 2: </t>
  </si>
  <si>
    <t>Zusatzbeschickung</t>
  </si>
  <si>
    <t>Tabelle 1</t>
  </si>
  <si>
    <t>rad</t>
  </si>
  <si>
    <t>diff</t>
  </si>
  <si>
    <t>test</t>
  </si>
  <si>
    <t>LHA =</t>
  </si>
  <si>
    <r>
      <t xml:space="preserve">Zeitdifferenz </t>
    </r>
    <r>
      <rPr>
        <sz val="11"/>
        <color theme="1"/>
        <rFont val="Symbol"/>
        <charset val="2"/>
      </rPr>
      <t>D</t>
    </r>
    <r>
      <rPr>
        <sz val="11"/>
        <color theme="1"/>
        <rFont val="Helvetica Neue"/>
        <family val="2"/>
      </rPr>
      <t xml:space="preserve">t: </t>
    </r>
  </si>
  <si>
    <t>hma°</t>
  </si>
  <si>
    <t>hmb°</t>
  </si>
  <si>
    <t>h</t>
  </si>
  <si>
    <t>e</t>
  </si>
  <si>
    <t>w</t>
  </si>
  <si>
    <r>
      <rPr>
        <sz val="12"/>
        <color rgb="FF0070C0"/>
        <rFont val="Symbol"/>
        <charset val="2"/>
      </rPr>
      <t>a</t>
    </r>
    <r>
      <rPr>
        <sz val="8"/>
        <color rgb="FF0070C0"/>
        <rFont val="Arial"/>
        <family val="2"/>
      </rPr>
      <t>m</t>
    </r>
  </si>
  <si>
    <r>
      <rPr>
        <sz val="12"/>
        <color theme="1"/>
        <rFont val="Arial"/>
        <family val="2"/>
      </rPr>
      <t>M</t>
    </r>
    <r>
      <rPr>
        <sz val="9"/>
        <color theme="1"/>
        <rFont val="Calibri (Textkörper)_x0000_"/>
      </rPr>
      <t>rad</t>
    </r>
  </si>
  <si>
    <r>
      <rPr>
        <sz val="14"/>
        <rFont val="Symbol"/>
        <charset val="2"/>
      </rPr>
      <t>e</t>
    </r>
    <r>
      <rPr>
        <sz val="9"/>
        <rFont val="Arial"/>
        <family val="2"/>
      </rPr>
      <t>rad</t>
    </r>
  </si>
  <si>
    <r>
      <rPr>
        <sz val="12"/>
        <color theme="1"/>
        <rFont val="Arial"/>
        <family val="2"/>
      </rPr>
      <t>L</t>
    </r>
    <r>
      <rPr>
        <sz val="11"/>
        <color theme="1"/>
        <rFont val="Calibri"/>
        <family val="2"/>
        <scheme val="minor"/>
      </rPr>
      <t>rad</t>
    </r>
  </si>
  <si>
    <r>
      <rPr>
        <sz val="12"/>
        <color theme="1"/>
        <rFont val="Symbol"/>
        <charset val="2"/>
      </rPr>
      <t>L</t>
    </r>
    <r>
      <rPr>
        <sz val="11"/>
        <color theme="1"/>
        <rFont val="Calibri"/>
        <family val="2"/>
        <scheme val="minor"/>
      </rPr>
      <t>rad</t>
    </r>
  </si>
  <si>
    <t>C</t>
  </si>
  <si>
    <t>g°</t>
  </si>
  <si>
    <t xml:space="preserve">Schiffsmittag: </t>
  </si>
  <si>
    <t>Ephemeridenrechnung</t>
  </si>
  <si>
    <t>Referenzdatum:</t>
  </si>
  <si>
    <t xml:space="preserve">Standortwahl N/ S : </t>
  </si>
  <si>
    <t>Auswahl</t>
  </si>
  <si>
    <t>Zeiten</t>
  </si>
  <si>
    <t>U</t>
  </si>
  <si>
    <r>
      <t>Grt</t>
    </r>
    <r>
      <rPr>
        <vertAlign val="subscript"/>
        <sz val="11"/>
        <color theme="1"/>
        <rFont val="Helvetica Neue"/>
        <family val="2"/>
      </rPr>
      <t>A</t>
    </r>
    <r>
      <rPr>
        <sz val="11"/>
        <color theme="1"/>
        <rFont val="Helvetica Neue"/>
        <family val="2"/>
      </rPr>
      <t xml:space="preserve"> =  </t>
    </r>
  </si>
  <si>
    <r>
      <rPr>
        <sz val="11"/>
        <color theme="1"/>
        <rFont val="Symbol"/>
        <charset val="2"/>
      </rPr>
      <t>t</t>
    </r>
    <r>
      <rPr>
        <vertAlign val="subscript"/>
        <sz val="11"/>
        <color theme="1"/>
        <rFont val="Helvetica Neue"/>
        <family val="2"/>
      </rPr>
      <t>1</t>
    </r>
    <r>
      <rPr>
        <sz val="11"/>
        <color theme="1"/>
        <rFont val="Helvetica Neue"/>
        <family val="2"/>
      </rPr>
      <t xml:space="preserve"> =  </t>
    </r>
  </si>
  <si>
    <r>
      <t>Grt</t>
    </r>
    <r>
      <rPr>
        <vertAlign val="subscript"/>
        <sz val="11"/>
        <color theme="1"/>
        <rFont val="Helvetica Neue"/>
        <family val="2"/>
      </rPr>
      <t>A</t>
    </r>
    <r>
      <rPr>
        <sz val="11"/>
        <color theme="1"/>
        <rFont val="Helvetica Neue"/>
        <family val="2"/>
      </rPr>
      <t xml:space="preserve"> </t>
    </r>
    <r>
      <rPr>
        <u/>
        <sz val="11"/>
        <color theme="1"/>
        <rFont val="Helvetica Neue"/>
        <family val="2"/>
      </rPr>
      <t>+</t>
    </r>
    <r>
      <rPr>
        <sz val="11"/>
        <color theme="1"/>
        <rFont val="Helvetica Neue"/>
        <family val="2"/>
      </rPr>
      <t xml:space="preserve"> </t>
    </r>
    <r>
      <rPr>
        <sz val="11"/>
        <color theme="1"/>
        <rFont val="Symbol"/>
        <charset val="2"/>
      </rPr>
      <t>t</t>
    </r>
    <r>
      <rPr>
        <vertAlign val="subscript"/>
        <sz val="11"/>
        <color theme="1"/>
        <rFont val="Helvetica Neue"/>
        <family val="2"/>
      </rPr>
      <t>1</t>
    </r>
    <r>
      <rPr>
        <sz val="11"/>
        <color theme="1"/>
        <rFont val="Helvetica Neue"/>
        <family val="2"/>
      </rPr>
      <t xml:space="preserve"> = </t>
    </r>
  </si>
  <si>
    <r>
      <rPr>
        <sz val="11"/>
        <color theme="1"/>
        <rFont val="Symbol"/>
        <charset val="2"/>
      </rPr>
      <t>l</t>
    </r>
    <r>
      <rPr>
        <sz val="11"/>
        <color theme="1"/>
        <rFont val="Helvetica Neue"/>
        <family val="2"/>
      </rPr>
      <t>* =</t>
    </r>
  </si>
  <si>
    <r>
      <rPr>
        <sz val="11"/>
        <color theme="1"/>
        <rFont val="Symbol"/>
        <charset val="2"/>
      </rPr>
      <t>l</t>
    </r>
    <r>
      <rPr>
        <sz val="11"/>
        <color theme="1"/>
        <rFont val="Helvetica Neue"/>
        <family val="2"/>
      </rPr>
      <t xml:space="preserve"> =</t>
    </r>
  </si>
  <si>
    <t>Tabelle 2</t>
  </si>
  <si>
    <t>Beschickung Sextantenablesung</t>
  </si>
  <si>
    <t>Sextantenablesung :</t>
  </si>
  <si>
    <t>Gesamtbeschickung :</t>
  </si>
  <si>
    <t>Zusatzbeschickung :</t>
  </si>
  <si>
    <t>Indexberichtigung :</t>
  </si>
  <si>
    <t>Bogenmaß :</t>
  </si>
  <si>
    <t xml:space="preserve">Messung 1 </t>
  </si>
  <si>
    <t>beobachtete Höhe:</t>
  </si>
  <si>
    <t>Grad Minuten :</t>
  </si>
  <si>
    <t>Tabelle 3</t>
  </si>
  <si>
    <t>Tabelle 4</t>
  </si>
  <si>
    <t xml:space="preserve">Az1 = </t>
  </si>
  <si>
    <t>aza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</si>
  <si>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h = </t>
    </r>
  </si>
  <si>
    <r>
      <t>h</t>
    </r>
    <r>
      <rPr>
        <vertAlign val="subscript"/>
        <sz val="12"/>
        <color theme="1"/>
        <rFont val="Calibri (Textkörper)"/>
      </rPr>
      <t>1</t>
    </r>
    <r>
      <rPr>
        <sz val="12"/>
        <color theme="1"/>
        <rFont val="Calibri"/>
        <family val="2"/>
        <scheme val="minor"/>
      </rPr>
      <t xml:space="preserve"> + </t>
    </r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>h =</t>
    </r>
  </si>
  <si>
    <t>hmav</t>
  </si>
  <si>
    <t>Zusatzinformationen</t>
  </si>
  <si>
    <t>Zeit UT1:</t>
  </si>
  <si>
    <t>Greenwichwinkel Grt:</t>
  </si>
  <si>
    <r>
      <t xml:space="preserve">Deklination </t>
    </r>
    <r>
      <rPr>
        <sz val="11"/>
        <color theme="1"/>
        <rFont val="Symbol"/>
        <charset val="2"/>
      </rPr>
      <t>d</t>
    </r>
    <r>
      <rPr>
        <sz val="11"/>
        <color theme="1"/>
        <rFont val="Helvetica Neue"/>
        <family val="2"/>
      </rPr>
      <t>:</t>
    </r>
  </si>
  <si>
    <t>LHA:</t>
  </si>
  <si>
    <t>Azimut Az1:</t>
  </si>
  <si>
    <r>
      <t xml:space="preserve">versegelte </t>
    </r>
    <r>
      <rPr>
        <sz val="14"/>
        <color theme="1"/>
        <rFont val="Symbol"/>
        <charset val="2"/>
      </rPr>
      <t>l</t>
    </r>
    <r>
      <rPr>
        <sz val="14"/>
        <color theme="1"/>
        <rFont val="Helvetica Neue"/>
        <family val="2"/>
      </rPr>
      <t xml:space="preserve"> und </t>
    </r>
    <r>
      <rPr>
        <sz val="14"/>
        <color theme="1"/>
        <rFont val="Symbol"/>
        <charset val="2"/>
      </rPr>
      <t>j</t>
    </r>
    <r>
      <rPr>
        <sz val="14"/>
        <color theme="1"/>
        <rFont val="Helvetica Neue"/>
        <family val="2"/>
      </rPr>
      <t xml:space="preserve"> für die Standortgrafik</t>
    </r>
  </si>
  <si>
    <t>versegelter Kurs:</t>
  </si>
  <si>
    <t>versegelte Strecke s:</t>
  </si>
  <si>
    <t>nm</t>
  </si>
  <si>
    <r>
      <t xml:space="preserve">versegelte Breite </t>
    </r>
    <r>
      <rPr>
        <sz val="12"/>
        <color theme="1"/>
        <rFont val="Symbol"/>
        <charset val="2"/>
      </rPr>
      <t>Dj</t>
    </r>
    <r>
      <rPr>
        <sz val="12"/>
        <color theme="1"/>
        <rFont val="Helvetica Neue"/>
        <family val="2"/>
      </rPr>
      <t>:</t>
    </r>
  </si>
  <si>
    <r>
      <t xml:space="preserve">versegelte Länge </t>
    </r>
    <r>
      <rPr>
        <sz val="12"/>
        <color theme="1"/>
        <rFont val="Symbol"/>
        <charset val="2"/>
      </rPr>
      <t>Dl</t>
    </r>
    <r>
      <rPr>
        <sz val="12"/>
        <color theme="1"/>
        <rFont val="Helvetica Neue"/>
        <family val="2"/>
      </rPr>
      <t>:</t>
    </r>
  </si>
  <si>
    <t>Grafik</t>
  </si>
  <si>
    <t xml:space="preserve">Schrittweite aus Breitenbereich: </t>
  </si>
  <si>
    <r>
      <rPr>
        <sz val="12"/>
        <rFont val="Symbol"/>
        <charset val="2"/>
      </rPr>
      <t>j</t>
    </r>
    <r>
      <rPr>
        <vertAlign val="subscript"/>
        <sz val="12"/>
        <rFont val="Helvetica Neue"/>
        <family val="2"/>
      </rPr>
      <t>rad</t>
    </r>
  </si>
  <si>
    <r>
      <t>P</t>
    </r>
    <r>
      <rPr>
        <sz val="12"/>
        <rFont val="Symbol"/>
        <charset val="2"/>
      </rPr>
      <t>l</t>
    </r>
    <r>
      <rPr>
        <vertAlign val="subscript"/>
        <sz val="12"/>
        <rFont val="Helvetica Neue"/>
        <family val="2"/>
      </rPr>
      <t>1</t>
    </r>
  </si>
  <si>
    <r>
      <t>P</t>
    </r>
    <r>
      <rPr>
        <sz val="12"/>
        <rFont val="Symbol"/>
        <charset val="2"/>
      </rPr>
      <t>l</t>
    </r>
    <r>
      <rPr>
        <vertAlign val="subscript"/>
        <sz val="12"/>
        <rFont val="Helvetica Neue"/>
        <family val="2"/>
      </rPr>
      <t>2</t>
    </r>
  </si>
  <si>
    <r>
      <t>P</t>
    </r>
    <r>
      <rPr>
        <sz val="12"/>
        <rFont val="Symbol"/>
        <charset val="2"/>
      </rPr>
      <t>l</t>
    </r>
    <r>
      <rPr>
        <vertAlign val="subscript"/>
        <sz val="12"/>
        <rFont val="Helvetica Neue"/>
        <family val="2"/>
      </rPr>
      <t>v</t>
    </r>
  </si>
  <si>
    <r>
      <rPr>
        <sz val="12"/>
        <rFont val="Symbol"/>
        <charset val="2"/>
      </rPr>
      <t>l</t>
    </r>
    <r>
      <rPr>
        <vertAlign val="subscript"/>
        <sz val="12"/>
        <rFont val="Helvetica Neue"/>
        <family val="2"/>
      </rPr>
      <t>1</t>
    </r>
  </si>
  <si>
    <r>
      <rPr>
        <sz val="12"/>
        <rFont val="Symbol"/>
        <charset val="2"/>
      </rPr>
      <t>l</t>
    </r>
    <r>
      <rPr>
        <vertAlign val="subscript"/>
        <sz val="12"/>
        <rFont val="Helvetica Neue"/>
        <family val="2"/>
      </rPr>
      <t>2</t>
    </r>
  </si>
  <si>
    <r>
      <t>l</t>
    </r>
    <r>
      <rPr>
        <vertAlign val="subscript"/>
        <sz val="12"/>
        <rFont val="Helvetica Neue"/>
        <family val="2"/>
      </rPr>
      <t>v</t>
    </r>
  </si>
  <si>
    <t>Vers. Vector</t>
  </si>
  <si>
    <t>Standort und Versegelung</t>
  </si>
  <si>
    <t xml:space="preserve">Breitenbereich: </t>
  </si>
  <si>
    <t>N</t>
  </si>
  <si>
    <t xml:space="preserve">Sonnenrand Beob. 1: </t>
  </si>
  <si>
    <t xml:space="preserve">Sonnenrand Beob. 2: </t>
  </si>
  <si>
    <t>Borda Navigation 1772</t>
  </si>
  <si>
    <t>Beobachtung 1</t>
  </si>
  <si>
    <t>Beobachtung 2</t>
  </si>
  <si>
    <r>
      <t xml:space="preserve">Grt und </t>
    </r>
    <r>
      <rPr>
        <sz val="14"/>
        <color theme="1"/>
        <rFont val="Symbol"/>
        <charset val="2"/>
      </rPr>
      <t>d</t>
    </r>
  </si>
  <si>
    <t>Grt°</t>
  </si>
  <si>
    <t>d°</t>
  </si>
  <si>
    <t>beobachtete Höhe h:</t>
  </si>
  <si>
    <t>dhma</t>
  </si>
  <si>
    <r>
      <rPr>
        <sz val="11"/>
        <color theme="1"/>
        <rFont val="Symbol"/>
        <charset val="2"/>
      </rPr>
      <t>j</t>
    </r>
    <r>
      <rPr>
        <sz val="11"/>
        <color theme="1"/>
        <rFont val="Helvetica Neue"/>
        <family val="2"/>
      </rPr>
      <t xml:space="preserve">uv = </t>
    </r>
  </si>
  <si>
    <t>Breite</t>
  </si>
  <si>
    <t xml:space="preserve">Radiant : </t>
  </si>
  <si>
    <t xml:space="preserve">Grad - Minuten : </t>
  </si>
  <si>
    <t xml:space="preserve">Interpoliert : </t>
  </si>
  <si>
    <t>Länge</t>
  </si>
  <si>
    <t xml:space="preserve">rad : </t>
  </si>
  <si>
    <t>UTC</t>
  </si>
  <si>
    <t>s2</t>
  </si>
  <si>
    <t>grtb</t>
  </si>
  <si>
    <t>diff =</t>
  </si>
  <si>
    <t xml:space="preserve"> = WW</t>
  </si>
  <si>
    <t xml:space="preserve"> = EE</t>
  </si>
  <si>
    <t>Peilrichtungen</t>
  </si>
  <si>
    <t>Parameter :</t>
  </si>
  <si>
    <t>N/ S</t>
  </si>
  <si>
    <t>U =</t>
  </si>
  <si>
    <r>
      <rPr>
        <sz val="10"/>
        <color theme="1"/>
        <rFont val="Symbol"/>
        <charset val="2"/>
      </rPr>
      <t>d</t>
    </r>
    <r>
      <rPr>
        <sz val="10"/>
        <color theme="1"/>
        <rFont val="Helvetica Neue"/>
        <family val="2"/>
      </rPr>
      <t>1'</t>
    </r>
    <r>
      <rPr>
        <sz val="10"/>
        <color theme="1"/>
        <rFont val="Helvetica Neue"/>
        <family val="2"/>
        <charset val="2"/>
      </rPr>
      <t xml:space="preserve"> =</t>
    </r>
  </si>
  <si>
    <r>
      <rPr>
        <sz val="10"/>
        <color theme="1"/>
        <rFont val="Symbol"/>
        <charset val="2"/>
      </rPr>
      <t>d</t>
    </r>
    <r>
      <rPr>
        <sz val="10"/>
        <color theme="1"/>
        <rFont val="Helvetica Neue"/>
        <family val="2"/>
      </rPr>
      <t>2'</t>
    </r>
    <r>
      <rPr>
        <sz val="10"/>
        <color theme="1"/>
        <rFont val="Helvetica Neue"/>
        <family val="2"/>
        <charset val="2"/>
      </rPr>
      <t xml:space="preserve"> =</t>
    </r>
  </si>
  <si>
    <t>p1 =</t>
  </si>
  <si>
    <t>p2 =</t>
  </si>
  <si>
    <t>s1 =</t>
  </si>
  <si>
    <t>grta - grtb =</t>
  </si>
  <si>
    <t>q =</t>
  </si>
  <si>
    <t>s =</t>
  </si>
  <si>
    <t>z =</t>
  </si>
  <si>
    <t>a =</t>
  </si>
  <si>
    <t>b =</t>
  </si>
  <si>
    <t>dira =</t>
  </si>
  <si>
    <t>dirb =</t>
  </si>
  <si>
    <t>erste Beobachtung</t>
  </si>
  <si>
    <t>zweite Beobachtung</t>
  </si>
  <si>
    <t>EW =</t>
  </si>
  <si>
    <t>TG =</t>
  </si>
  <si>
    <t>Zeitdifferenz =</t>
  </si>
  <si>
    <t xml:space="preserve">Passwort: 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</si>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</sst>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0.0000"/>
    <numFmt numFmtId="165" formatCode="0.000"/>
    <numFmt numFmtId="166" formatCode="0.0"/>
    <numFmt numFmtId="167" formatCode="[$-407]d/\ mmm/;@"/>
    <numFmt numFmtId="168" formatCode="[$-F400]h:mm:ss\ AM/PM"/>
    <numFmt numFmtId="169" formatCode="[$-407]d/\ mmm\ yy;@"/>
    <numFmt numFmtId="170" formatCode="0.00_ ;[Red]\-0.00\ "/>
    <numFmt numFmtId="171" formatCode="0.000_ ;[Red]\-0.000\ "/>
    <numFmt numFmtId="172" formatCode="0.00;[Red]0.00"/>
    <numFmt numFmtId="173" formatCode="0.0000_ ;[Red]\-0.0000\ "/>
    <numFmt numFmtId="174" formatCode="0.00\°"/>
    <numFmt numFmtId="175" formatCode="0\°"/>
    <numFmt numFmtId="176" formatCode="0.000\°"/>
    <numFmt numFmtId="177" formatCode="000\°"/>
    <numFmt numFmtId="178" formatCode="0.00\'"/>
    <numFmt numFmtId="179" formatCode="0.0\'"/>
    <numFmt numFmtId="180" formatCode="0.00\°;[Red]0.00\°"/>
    <numFmt numFmtId="181" formatCode="0.00000"/>
    <numFmt numFmtId="182" formatCode="0;[Red]0"/>
    <numFmt numFmtId="183" formatCode="#,##0.00\ _€"/>
    <numFmt numFmtId="184" formatCode="0.0\°"/>
    <numFmt numFmtId="185" formatCode="0.000\°;[Red]0.000\°"/>
  </numFmts>
  <fonts count="6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ucida Calligraphy Italic"/>
    </font>
    <font>
      <b/>
      <sz val="18"/>
      <color theme="1"/>
      <name val="Lucida Calligraphy Italic"/>
    </font>
    <font>
      <sz val="12"/>
      <color theme="1"/>
      <name val="Helvetica Neue"/>
      <family val="2"/>
    </font>
    <font>
      <sz val="9"/>
      <color theme="1"/>
      <name val="Helvetica Neue"/>
      <family val="2"/>
    </font>
    <font>
      <sz val="11"/>
      <color theme="1"/>
      <name val="Helvetica Neue"/>
      <family val="2"/>
    </font>
    <font>
      <sz val="10"/>
      <color theme="1"/>
      <name val="Helvetica Neue"/>
      <family val="2"/>
    </font>
    <font>
      <sz val="10"/>
      <color rgb="FFC00000"/>
      <name val="Helvetica Neue"/>
      <family val="2"/>
    </font>
    <font>
      <sz val="9"/>
      <color rgb="FFC00000"/>
      <name val="Helvetica Neue"/>
      <family val="2"/>
    </font>
    <font>
      <sz val="12"/>
      <color theme="1"/>
      <name val="Symbol"/>
      <charset val="2"/>
    </font>
    <font>
      <sz val="11"/>
      <color theme="1"/>
      <name val="Symbol"/>
      <charset val="2"/>
    </font>
    <font>
      <b/>
      <sz val="10"/>
      <color rgb="FFFF0000"/>
      <name val="Helvetica Neue"/>
      <family val="2"/>
    </font>
    <font>
      <sz val="11"/>
      <name val="Helvetica Neue"/>
      <family val="2"/>
    </font>
    <font>
      <sz val="11"/>
      <color theme="1"/>
      <name val="Calibri"/>
      <family val="2"/>
      <scheme val="minor"/>
    </font>
    <font>
      <sz val="14"/>
      <color theme="1"/>
      <name val="Helvetica Neue"/>
      <family val="2"/>
    </font>
    <font>
      <b/>
      <sz val="11"/>
      <color theme="1"/>
      <name val="Helvetica Neue"/>
      <family val="2"/>
    </font>
    <font>
      <sz val="10"/>
      <color theme="1"/>
      <name val="Calibri"/>
      <family val="2"/>
      <scheme val="minor"/>
    </font>
    <font>
      <sz val="11"/>
      <color rgb="FFC00000"/>
      <name val="Helvetica Neue"/>
      <family val="2"/>
    </font>
    <font>
      <sz val="10"/>
      <color theme="1"/>
      <name val="Lucida Calligraphy Italic"/>
    </font>
    <font>
      <sz val="11"/>
      <color rgb="FF000000"/>
      <name val="Helvetica Neue"/>
      <family val="2"/>
    </font>
    <font>
      <b/>
      <sz val="16"/>
      <color theme="1"/>
      <name val="Helvetica Neue"/>
      <family val="2"/>
    </font>
    <font>
      <sz val="11"/>
      <color rgb="FF00B050"/>
      <name val="Helvetica Neue"/>
      <family val="2"/>
    </font>
    <font>
      <sz val="12"/>
      <color rgb="FFC00000"/>
      <name val="Helvetica Neue"/>
      <family val="2"/>
    </font>
    <font>
      <sz val="18"/>
      <color theme="1"/>
      <name val="Lucida Calligraphy Italic"/>
    </font>
    <font>
      <i/>
      <sz val="20"/>
      <color rgb="FFC00000"/>
      <name val="Delta Jaeger Bold"/>
    </font>
    <font>
      <b/>
      <sz val="11"/>
      <color rgb="FF000000"/>
      <name val="Helvetica Neue"/>
      <family val="2"/>
    </font>
    <font>
      <b/>
      <sz val="10"/>
      <color theme="1"/>
      <name val="Helvetica Neue"/>
      <family val="2"/>
    </font>
    <font>
      <sz val="14"/>
      <color theme="1"/>
      <name val="Symbol"/>
      <charset val="2"/>
    </font>
    <font>
      <sz val="11"/>
      <color rgb="FF0070C0"/>
      <name val="Calibri"/>
      <family val="2"/>
      <scheme val="minor"/>
    </font>
    <font>
      <sz val="11"/>
      <color theme="1"/>
      <name val="Helvetica Neue"/>
      <family val="2"/>
      <charset val="2"/>
    </font>
    <font>
      <sz val="11"/>
      <color theme="1"/>
      <name val="Calibri"/>
      <family val="2"/>
      <charset val="2"/>
      <scheme val="minor"/>
    </font>
    <font>
      <vertAlign val="subscript"/>
      <sz val="11"/>
      <color theme="1"/>
      <name val="Helvetica Neue"/>
      <family val="2"/>
    </font>
    <font>
      <u/>
      <sz val="11"/>
      <color theme="1"/>
      <name val="Helvetica Neue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4"/>
      <color rgb="FF0070C0"/>
      <name val="Symbol"/>
      <charset val="2"/>
    </font>
    <font>
      <sz val="12"/>
      <color rgb="FF0070C0"/>
      <name val="Arial"/>
      <family val="2"/>
      <charset val="2"/>
    </font>
    <font>
      <sz val="12"/>
      <color rgb="FF0070C0"/>
      <name val="Symbol"/>
      <charset val="2"/>
    </font>
    <font>
      <sz val="8"/>
      <color rgb="FF0070C0"/>
      <name val="Arial"/>
      <family val="2"/>
    </font>
    <font>
      <sz val="12"/>
      <color theme="1"/>
      <name val="Calibri"/>
      <family val="2"/>
    </font>
    <font>
      <sz val="9"/>
      <color theme="1"/>
      <name val="Calibri (Textkörper)_x0000_"/>
    </font>
    <font>
      <sz val="11"/>
      <name val="Symbol"/>
      <charset val="2"/>
    </font>
    <font>
      <sz val="14"/>
      <name val="Symbol"/>
      <charset val="2"/>
    </font>
    <font>
      <sz val="9"/>
      <name val="Arial"/>
      <family val="2"/>
    </font>
    <font>
      <sz val="12"/>
      <color rgb="FF0070C0"/>
      <name val="Calibri"/>
      <family val="2"/>
      <scheme val="minor"/>
    </font>
    <font>
      <b/>
      <sz val="12"/>
      <color theme="1"/>
      <name val="Helvetica Neue"/>
      <family val="2"/>
    </font>
    <font>
      <sz val="12"/>
      <name val="Helvetica Neue"/>
      <family val="2"/>
    </font>
    <font>
      <sz val="12"/>
      <color theme="1"/>
      <name val="Calibri"/>
      <family val="2"/>
      <charset val="2"/>
      <scheme val="minor"/>
    </font>
    <font>
      <vertAlign val="subscript"/>
      <sz val="12"/>
      <color theme="1"/>
      <name val="Calibri (Textkörper)"/>
    </font>
    <font>
      <sz val="12"/>
      <color rgb="FFFF0000"/>
      <name val="Calibri"/>
      <family val="2"/>
      <scheme val="minor"/>
    </font>
    <font>
      <sz val="12"/>
      <name val="Symbol"/>
      <charset val="2"/>
    </font>
    <font>
      <sz val="12"/>
      <name val="Calibri"/>
      <family val="2"/>
      <charset val="2"/>
    </font>
    <font>
      <vertAlign val="subscript"/>
      <sz val="12"/>
      <name val="Helvetica Neue"/>
      <family val="2"/>
    </font>
    <font>
      <sz val="12"/>
      <name val="Helvetica Neue"/>
      <family val="2"/>
      <charset val="2"/>
    </font>
    <font>
      <sz val="9"/>
      <name val="Helvetica Neue"/>
      <family val="2"/>
      <charset val="2"/>
    </font>
    <font>
      <sz val="12"/>
      <color rgb="FF00B05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1"/>
      <color rgb="FFFF0000"/>
      <name val="Helvetica Neue"/>
      <family val="2"/>
    </font>
    <font>
      <sz val="11"/>
      <color rgb="FF0070C0"/>
      <name val="Helvetica Neue"/>
      <family val="2"/>
    </font>
    <font>
      <sz val="11"/>
      <color rgb="FFFF0000"/>
      <name val="Calibri"/>
      <family val="2"/>
      <scheme val="minor"/>
    </font>
    <font>
      <sz val="14"/>
      <color theme="1"/>
      <name val="Lucida Calligraphy Italic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Symbol"/>
      <charset val="2"/>
    </font>
    <font>
      <sz val="10"/>
      <color theme="1"/>
      <name val="Helvetica Neue"/>
      <family val="2"/>
      <charset val="2"/>
    </font>
    <font>
      <sz val="16"/>
      <color theme="1"/>
      <name val="Helvetica Neue"/>
      <family val="2"/>
    </font>
    <font>
      <sz val="20"/>
      <color theme="1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AD6"/>
        <bgColor indexed="64"/>
      </patternFill>
    </fill>
  </fills>
  <borders count="15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hair">
        <color rgb="FF0070C0"/>
      </top>
      <bottom style="medium">
        <color rgb="FF0070C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medium">
        <color rgb="FF0070C0"/>
      </top>
      <bottom style="hair">
        <color rgb="FF0070C0"/>
      </bottom>
      <diagonal/>
    </border>
    <border>
      <left/>
      <right/>
      <top style="medium">
        <color rgb="FF0070C0"/>
      </top>
      <bottom style="hair">
        <color rgb="FF0070C0"/>
      </bottom>
      <diagonal/>
    </border>
    <border>
      <left style="thin">
        <color rgb="FF0070C0"/>
      </left>
      <right/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medium">
        <color rgb="FF0070C0"/>
      </bottom>
      <diagonal/>
    </border>
    <border>
      <left/>
      <right/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hair">
        <color rgb="FF0070C0"/>
      </top>
      <bottom/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medium">
        <color rgb="FF0070C0"/>
      </left>
      <right/>
      <top style="hair">
        <color rgb="FF0070C0"/>
      </top>
      <bottom style="hair">
        <color rgb="FF0070C0"/>
      </bottom>
      <diagonal/>
    </border>
    <border>
      <left style="medium">
        <color rgb="FF0070C0"/>
      </left>
      <right style="thin">
        <color rgb="FF0070C0"/>
      </right>
      <top/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 style="thin">
        <color rgb="FF0070C0"/>
      </right>
      <top style="hair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hair">
        <color rgb="FF0070C0"/>
      </bottom>
      <diagonal/>
    </border>
    <border>
      <left/>
      <right style="medium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 style="thin">
        <color rgb="FF0070C0"/>
      </right>
      <top style="medium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 style="medium">
        <color rgb="FF0070C0"/>
      </right>
      <top style="hair">
        <color rgb="FF0070C0"/>
      </top>
      <bottom/>
      <diagonal/>
    </border>
    <border>
      <left style="medium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hair">
        <color rgb="FF00B050"/>
      </bottom>
      <diagonal/>
    </border>
    <border>
      <left/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/>
      <top style="hair">
        <color rgb="FF00B050"/>
      </top>
      <bottom style="medium">
        <color rgb="FF00B050"/>
      </bottom>
      <diagonal/>
    </border>
    <border>
      <left/>
      <right/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/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/>
      <right style="medium">
        <color rgb="FF00B050"/>
      </right>
      <top/>
      <bottom style="hair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hair">
        <color rgb="FFC00000"/>
      </bottom>
      <diagonal/>
    </border>
    <border>
      <left/>
      <right/>
      <top/>
      <bottom style="hair">
        <color rgb="FFC00000"/>
      </bottom>
      <diagonal/>
    </border>
    <border>
      <left style="thin">
        <color rgb="FFC00000"/>
      </left>
      <right/>
      <top/>
      <bottom style="hair">
        <color rgb="FFC00000"/>
      </bottom>
      <diagonal/>
    </border>
    <border>
      <left/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 style="hair">
        <color rgb="FFC00000"/>
      </top>
      <bottom style="thin">
        <color rgb="FFC00000"/>
      </bottom>
      <diagonal/>
    </border>
    <border>
      <left style="thin">
        <color rgb="FFC00000"/>
      </left>
      <right/>
      <top style="hair">
        <color rgb="FFC00000"/>
      </top>
      <bottom style="thin">
        <color rgb="FFC00000"/>
      </bottom>
      <diagonal/>
    </border>
    <border>
      <left/>
      <right style="thin">
        <color rgb="FFC00000"/>
      </right>
      <top style="hair">
        <color rgb="FFC00000"/>
      </top>
      <bottom style="thin">
        <color rgb="FFC00000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/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/>
      <top/>
      <bottom/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2" tint="-0.24994659260841701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2" tint="-0.24994659260841701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medium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/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medium">
        <color rgb="FF0070C0"/>
      </right>
      <top/>
      <bottom style="hair">
        <color rgb="FF0070C0"/>
      </bottom>
      <diagonal/>
    </border>
    <border>
      <left style="medium">
        <color rgb="FF0070C0"/>
      </left>
      <right/>
      <top style="thin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/>
      <right style="medium">
        <color rgb="FF0070C0"/>
      </right>
      <top style="hair">
        <color rgb="FF0070C0"/>
      </top>
      <bottom style="thin">
        <color rgb="FF0070C0"/>
      </bottom>
      <diagonal/>
    </border>
    <border>
      <left/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hair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hair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thin">
        <color rgb="FFC00000"/>
      </right>
      <top style="hair">
        <color rgb="FFC00000"/>
      </top>
      <bottom/>
      <diagonal/>
    </border>
    <border>
      <left style="thin">
        <color rgb="FFC00000"/>
      </left>
      <right style="medium">
        <color rgb="FFC00000"/>
      </right>
      <top style="hair">
        <color rgb="FFC00000"/>
      </top>
      <bottom/>
      <diagonal/>
    </border>
    <border>
      <left style="medium">
        <color rgb="FFC00000"/>
      </left>
      <right style="thin">
        <color rgb="FFC00000"/>
      </right>
      <top/>
      <bottom style="hair">
        <color rgb="FFC00000"/>
      </bottom>
      <diagonal/>
    </border>
    <border>
      <left style="thin">
        <color rgb="FFC00000"/>
      </left>
      <right style="medium">
        <color rgb="FFC00000"/>
      </right>
      <top/>
      <bottom style="hair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/>
      <diagonal/>
    </border>
    <border>
      <left style="thin">
        <color rgb="FFC00000"/>
      </left>
      <right style="medium">
        <color rgb="FFC00000"/>
      </right>
      <top/>
      <bottom/>
      <diagonal/>
    </border>
  </borders>
  <cellStyleXfs count="17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9">
    <xf numFmtId="0" fontId="0" fillId="0" borderId="0" xfId="0"/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167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0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" fontId="8" fillId="0" borderId="0" xfId="0" applyNumberFormat="1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protection hidden="1"/>
    </xf>
    <xf numFmtId="0" fontId="16" fillId="0" borderId="0" xfId="0" applyFont="1" applyProtection="1">
      <protection hidden="1"/>
    </xf>
    <xf numFmtId="170" fontId="0" fillId="0" borderId="0" xfId="0" applyNumberFormat="1" applyProtection="1">
      <protection hidden="1"/>
    </xf>
    <xf numFmtId="1" fontId="9" fillId="0" borderId="0" xfId="0" applyNumberFormat="1" applyFont="1" applyAlignment="1" applyProtection="1">
      <alignment horizontal="left"/>
      <protection hidden="1"/>
    </xf>
    <xf numFmtId="172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166" fontId="5" fillId="0" borderId="0" xfId="0" applyNumberFormat="1" applyFont="1" applyBorder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10" fillId="0" borderId="5" xfId="0" applyFont="1" applyBorder="1" applyAlignment="1" applyProtection="1">
      <alignment horizontal="right" vertical="center"/>
      <protection hidden="1"/>
    </xf>
    <xf numFmtId="0" fontId="19" fillId="0" borderId="2" xfId="0" applyFont="1" applyBorder="1" applyAlignment="1" applyProtection="1">
      <alignment horizontal="right" vertical="center"/>
      <protection hidden="1"/>
    </xf>
    <xf numFmtId="175" fontId="7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hidden="1"/>
    </xf>
    <xf numFmtId="0" fontId="0" fillId="0" borderId="2" xfId="0" applyBorder="1" applyProtection="1">
      <protection hidden="1"/>
    </xf>
    <xf numFmtId="0" fontId="18" fillId="0" borderId="0" xfId="0" applyFont="1" applyBorder="1" applyAlignment="1" applyProtection="1"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3" xfId="0" applyBorder="1" applyProtection="1">
      <protection hidden="1"/>
    </xf>
    <xf numFmtId="175" fontId="17" fillId="0" borderId="1" xfId="0" applyNumberFormat="1" applyFont="1" applyBorder="1" applyAlignment="1" applyProtection="1">
      <alignment horizontal="right" vertical="center"/>
      <protection hidden="1"/>
    </xf>
    <xf numFmtId="178" fontId="17" fillId="0" borderId="2" xfId="0" applyNumberFormat="1" applyFont="1" applyBorder="1" applyAlignment="1" applyProtection="1">
      <alignment horizontal="right" vertical="center"/>
      <protection hidden="1"/>
    </xf>
    <xf numFmtId="171" fontId="17" fillId="0" borderId="3" xfId="0" applyNumberFormat="1" applyFont="1" applyBorder="1" applyAlignment="1" applyProtection="1">
      <alignment horizontal="left" vertical="center"/>
      <protection hidden="1"/>
    </xf>
    <xf numFmtId="177" fontId="17" fillId="0" borderId="2" xfId="0" applyNumberFormat="1" applyFont="1" applyBorder="1" applyAlignment="1" applyProtection="1">
      <alignment horizontal="right" vertical="center"/>
      <protection hidden="1"/>
    </xf>
    <xf numFmtId="178" fontId="17" fillId="0" borderId="2" xfId="0" applyNumberFormat="1" applyFont="1" applyBorder="1" applyAlignment="1" applyProtection="1">
      <alignment horizontal="center" vertical="center"/>
      <protection hidden="1"/>
    </xf>
    <xf numFmtId="171" fontId="27" fillId="0" borderId="3" xfId="0" applyNumberFormat="1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alignment horizontal="right"/>
      <protection hidden="1"/>
    </xf>
    <xf numFmtId="17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65" fontId="24" fillId="0" borderId="4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8" fillId="0" borderId="1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16" fillId="0" borderId="0" xfId="0" applyNumberFormat="1" applyFont="1" applyBorder="1" applyAlignment="1" applyProtection="1">
      <alignment horizontal="left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180" fontId="7" fillId="0" borderId="0" xfId="0" applyNumberFormat="1" applyFont="1" applyBorder="1" applyAlignment="1" applyProtection="1">
      <alignment horizontal="center" vertical="center"/>
      <protection hidden="1"/>
    </xf>
    <xf numFmtId="170" fontId="7" fillId="0" borderId="0" xfId="0" applyNumberFormat="1" applyFont="1" applyFill="1" applyBorder="1" applyAlignment="1" applyProtection="1">
      <alignment horizontal="center" vertical="center"/>
      <protection hidden="1"/>
    </xf>
    <xf numFmtId="180" fontId="7" fillId="0" borderId="0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2" fontId="15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Protection="1"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Border="1" applyProtection="1"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72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37" xfId="0" applyFont="1" applyBorder="1" applyProtection="1">
      <protection hidden="1"/>
    </xf>
    <xf numFmtId="2" fontId="7" fillId="0" borderId="12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Protection="1">
      <protection hidden="1"/>
    </xf>
    <xf numFmtId="0" fontId="31" fillId="0" borderId="38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5" fillId="0" borderId="41" xfId="0" applyFont="1" applyBorder="1" applyAlignment="1" applyProtection="1">
      <alignment horizontal="center" vertical="center"/>
      <protection hidden="1"/>
    </xf>
    <xf numFmtId="164" fontId="7" fillId="0" borderId="46" xfId="0" applyNumberFormat="1" applyFont="1" applyBorder="1" applyAlignment="1" applyProtection="1">
      <alignment horizontal="right" vertical="center"/>
      <protection hidden="1"/>
    </xf>
    <xf numFmtId="174" fontId="7" fillId="0" borderId="48" xfId="0" applyNumberFormat="1" applyFont="1" applyBorder="1" applyAlignment="1" applyProtection="1">
      <alignment horizontal="center" vertical="center"/>
      <protection hidden="1"/>
    </xf>
    <xf numFmtId="164" fontId="7" fillId="0" borderId="49" xfId="0" applyNumberFormat="1" applyFont="1" applyBorder="1" applyAlignment="1" applyProtection="1">
      <alignment horizontal="right" vertical="center"/>
      <protection hidden="1"/>
    </xf>
    <xf numFmtId="0" fontId="7" fillId="0" borderId="47" xfId="0" applyFont="1" applyBorder="1" applyAlignment="1" applyProtection="1">
      <alignment horizontal="right"/>
      <protection hidden="1"/>
    </xf>
    <xf numFmtId="0" fontId="7" fillId="0" borderId="50" xfId="0" applyFont="1" applyBorder="1" applyAlignment="1" applyProtection="1">
      <alignment horizontal="right"/>
      <protection hidden="1"/>
    </xf>
    <xf numFmtId="1" fontId="22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protection hidden="1"/>
    </xf>
    <xf numFmtId="180" fontId="16" fillId="0" borderId="0" xfId="0" applyNumberFormat="1" applyFont="1" applyFill="1" applyBorder="1" applyAlignment="1" applyProtection="1">
      <alignment horizontal="center" vertical="center"/>
      <protection hidden="1"/>
    </xf>
    <xf numFmtId="182" fontId="0" fillId="0" borderId="9" xfId="0" applyNumberFormat="1" applyBorder="1" applyAlignment="1" applyProtection="1">
      <alignment horizontal="center"/>
      <protection hidden="1"/>
    </xf>
    <xf numFmtId="0" fontId="7" fillId="0" borderId="41" xfId="0" applyFont="1" applyBorder="1" applyProtection="1">
      <protection hidden="1"/>
    </xf>
    <xf numFmtId="164" fontId="15" fillId="0" borderId="4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175" fontId="5" fillId="0" borderId="16" xfId="0" applyNumberFormat="1" applyFont="1" applyBorder="1" applyAlignment="1" applyProtection="1">
      <alignment vertical="center"/>
      <protection hidden="1"/>
    </xf>
    <xf numFmtId="178" fontId="5" fillId="0" borderId="31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protection hidden="1"/>
    </xf>
    <xf numFmtId="172" fontId="7" fillId="0" borderId="0" xfId="0" applyNumberFormat="1" applyFont="1" applyBorder="1" applyAlignment="1" applyProtection="1">
      <alignment horizontal="right" vertical="center"/>
      <protection hidden="1"/>
    </xf>
    <xf numFmtId="174" fontId="7" fillId="0" borderId="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182" fontId="7" fillId="0" borderId="0" xfId="0" applyNumberFormat="1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/>
      <protection hidden="1"/>
    </xf>
    <xf numFmtId="175" fontId="5" fillId="0" borderId="0" xfId="0" applyNumberFormat="1" applyFont="1" applyBorder="1" applyAlignment="1" applyProtection="1">
      <alignment vertical="center"/>
      <protection hidden="1"/>
    </xf>
    <xf numFmtId="178" fontId="5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Protection="1">
      <protection hidden="1"/>
    </xf>
    <xf numFmtId="0" fontId="8" fillId="0" borderId="75" xfId="0" applyFont="1" applyBorder="1" applyProtection="1">
      <protection hidden="1"/>
    </xf>
    <xf numFmtId="0" fontId="5" fillId="0" borderId="21" xfId="0" applyFont="1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/>
      <protection hidden="1"/>
    </xf>
    <xf numFmtId="0" fontId="5" fillId="0" borderId="54" xfId="0" applyFont="1" applyBorder="1" applyProtection="1">
      <protection hidden="1"/>
    </xf>
    <xf numFmtId="172" fontId="7" fillId="0" borderId="37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 vertical="center"/>
      <protection hidden="1"/>
    </xf>
    <xf numFmtId="170" fontId="7" fillId="0" borderId="12" xfId="0" applyNumberFormat="1" applyFont="1" applyBorder="1" applyProtection="1">
      <protection hidden="1"/>
    </xf>
    <xf numFmtId="170" fontId="7" fillId="0" borderId="0" xfId="0" applyNumberFormat="1" applyFont="1" applyBorder="1" applyProtection="1">
      <protection hidden="1"/>
    </xf>
    <xf numFmtId="182" fontId="0" fillId="0" borderId="0" xfId="0" applyNumberFormat="1" applyBorder="1" applyAlignment="1" applyProtection="1">
      <alignment horizontal="center"/>
      <protection hidden="1"/>
    </xf>
    <xf numFmtId="164" fontId="15" fillId="0" borderId="9" xfId="0" applyNumberFormat="1" applyFont="1" applyBorder="1" applyAlignment="1" applyProtection="1">
      <alignment horizontal="center" vertical="center"/>
      <protection hidden="1"/>
    </xf>
    <xf numFmtId="0" fontId="49" fillId="0" borderId="6" xfId="0" applyFont="1" applyFill="1" applyBorder="1" applyAlignment="1" applyProtection="1">
      <alignment horizontal="right"/>
      <protection hidden="1"/>
    </xf>
    <xf numFmtId="176" fontId="7" fillId="0" borderId="7" xfId="0" applyNumberFormat="1" applyFont="1" applyFill="1" applyBorder="1" applyAlignment="1" applyProtection="1">
      <alignment horizontal="center" vertical="center"/>
      <protection hidden="1"/>
    </xf>
    <xf numFmtId="173" fontId="14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right"/>
      <protection hidden="1"/>
    </xf>
    <xf numFmtId="173" fontId="7" fillId="0" borderId="11" xfId="0" applyNumberFormat="1" applyFont="1" applyFill="1" applyBorder="1" applyAlignment="1" applyProtection="1">
      <alignment horizontal="center" vertical="center"/>
      <protection hidden="1"/>
    </xf>
    <xf numFmtId="164" fontId="15" fillId="0" borderId="32" xfId="0" applyNumberFormat="1" applyFont="1" applyBorder="1" applyAlignment="1" applyProtection="1">
      <alignment horizontal="center" vertical="center"/>
      <protection hidden="1"/>
    </xf>
    <xf numFmtId="173" fontId="7" fillId="0" borderId="0" xfId="0" applyNumberFormat="1" applyFont="1" applyBorder="1" applyProtection="1">
      <protection hidden="1"/>
    </xf>
    <xf numFmtId="168" fontId="7" fillId="0" borderId="77" xfId="0" applyNumberFormat="1" applyFont="1" applyBorder="1" applyAlignment="1" applyProtection="1">
      <alignment horizontal="right"/>
      <protection hidden="1"/>
    </xf>
    <xf numFmtId="0" fontId="7" fillId="0" borderId="78" xfId="0" applyFont="1" applyBorder="1" applyAlignment="1" applyProtection="1">
      <alignment horizontal="right"/>
      <protection hidden="1"/>
    </xf>
    <xf numFmtId="175" fontId="7" fillId="0" borderId="79" xfId="0" applyNumberFormat="1" applyFont="1" applyBorder="1" applyAlignment="1" applyProtection="1">
      <alignment horizontal="right"/>
      <protection hidden="1"/>
    </xf>
    <xf numFmtId="178" fontId="7" fillId="0" borderId="79" xfId="0" applyNumberFormat="1" applyFont="1" applyBorder="1" applyAlignment="1" applyProtection="1">
      <alignment horizontal="right"/>
      <protection hidden="1"/>
    </xf>
    <xf numFmtId="0" fontId="7" fillId="0" borderId="80" xfId="0" applyFont="1" applyBorder="1" applyProtection="1">
      <protection hidden="1"/>
    </xf>
    <xf numFmtId="178" fontId="7" fillId="0" borderId="81" xfId="0" applyNumberFormat="1" applyFont="1" applyBorder="1" applyAlignment="1" applyProtection="1">
      <alignment horizontal="right"/>
      <protection hidden="1"/>
    </xf>
    <xf numFmtId="0" fontId="7" fillId="0" borderId="82" xfId="0" applyFont="1" applyBorder="1" applyAlignment="1" applyProtection="1">
      <alignment horizontal="right"/>
      <protection hidden="1"/>
    </xf>
    <xf numFmtId="175" fontId="7" fillId="0" borderId="83" xfId="0" applyNumberFormat="1" applyFont="1" applyBorder="1" applyAlignment="1" applyProtection="1">
      <alignment horizontal="right"/>
      <protection hidden="1"/>
    </xf>
    <xf numFmtId="178" fontId="7" fillId="0" borderId="83" xfId="0" applyNumberFormat="1" applyFont="1" applyBorder="1" applyAlignment="1" applyProtection="1">
      <alignment horizontal="right"/>
      <protection hidden="1"/>
    </xf>
    <xf numFmtId="0" fontId="7" fillId="0" borderId="84" xfId="0" applyFont="1" applyBorder="1" applyProtection="1">
      <protection hidden="1"/>
    </xf>
    <xf numFmtId="178" fontId="7" fillId="0" borderId="85" xfId="0" applyNumberFormat="1" applyFont="1" applyBorder="1" applyAlignment="1" applyProtection="1">
      <alignment horizontal="right"/>
      <protection hidden="1"/>
    </xf>
    <xf numFmtId="0" fontId="0" fillId="0" borderId="82" xfId="0" applyBorder="1" applyAlignment="1" applyProtection="1">
      <alignment horizontal="right"/>
      <protection hidden="1"/>
    </xf>
    <xf numFmtId="0" fontId="0" fillId="0" borderId="84" xfId="0" applyBorder="1" applyProtection="1">
      <protection hidden="1"/>
    </xf>
    <xf numFmtId="0" fontId="0" fillId="0" borderId="83" xfId="0" applyBorder="1" applyProtection="1">
      <protection hidden="1"/>
    </xf>
    <xf numFmtId="0" fontId="0" fillId="0" borderId="85" xfId="0" applyBorder="1" applyProtection="1">
      <protection hidden="1"/>
    </xf>
    <xf numFmtId="0" fontId="7" fillId="0" borderId="86" xfId="0" applyFont="1" applyBorder="1" applyAlignment="1" applyProtection="1">
      <alignment horizontal="right"/>
      <protection hidden="1"/>
    </xf>
    <xf numFmtId="178" fontId="7" fillId="0" borderId="87" xfId="0" applyNumberFormat="1" applyFont="1" applyBorder="1" applyAlignment="1" applyProtection="1">
      <alignment horizontal="right"/>
      <protection hidden="1"/>
    </xf>
    <xf numFmtId="0" fontId="7" fillId="0" borderId="88" xfId="0" applyFont="1" applyBorder="1" applyProtection="1">
      <protection hidden="1"/>
    </xf>
    <xf numFmtId="178" fontId="7" fillId="0" borderId="89" xfId="0" applyNumberFormat="1" applyFont="1" applyBorder="1" applyAlignment="1" applyProtection="1">
      <alignment horizontal="right"/>
      <protection hidden="1"/>
    </xf>
    <xf numFmtId="175" fontId="5" fillId="0" borderId="91" xfId="0" applyNumberFormat="1" applyFont="1" applyBorder="1" applyAlignment="1" applyProtection="1">
      <alignment vertical="center"/>
      <protection hidden="1"/>
    </xf>
    <xf numFmtId="0" fontId="5" fillId="0" borderId="91" xfId="0" applyFont="1" applyBorder="1" applyAlignment="1" applyProtection="1">
      <alignment vertical="center"/>
      <protection hidden="1"/>
    </xf>
    <xf numFmtId="0" fontId="5" fillId="0" borderId="92" xfId="0" applyFont="1" applyBorder="1" applyAlignment="1" applyProtection="1">
      <alignment vertical="center"/>
      <protection hidden="1"/>
    </xf>
    <xf numFmtId="166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horizontal="left" vertical="center"/>
      <protection hidden="1"/>
    </xf>
    <xf numFmtId="176" fontId="5" fillId="0" borderId="94" xfId="0" applyNumberFormat="1" applyFont="1" applyBorder="1" applyAlignment="1" applyProtection="1">
      <alignment horizontal="center" vertical="center"/>
      <protection hidden="1"/>
    </xf>
    <xf numFmtId="166" fontId="5" fillId="0" borderId="96" xfId="0" applyNumberFormat="1" applyFont="1" applyBorder="1" applyAlignment="1" applyProtection="1">
      <alignment horizontal="right" vertical="center"/>
      <protection hidden="1"/>
    </xf>
    <xf numFmtId="166" fontId="5" fillId="0" borderId="96" xfId="0" applyNumberFormat="1" applyFont="1" applyBorder="1" applyAlignment="1" applyProtection="1">
      <alignment horizontal="left" vertical="center"/>
      <protection hidden="1"/>
    </xf>
    <xf numFmtId="176" fontId="5" fillId="0" borderId="97" xfId="0" applyNumberFormat="1" applyFont="1" applyFill="1" applyBorder="1" applyAlignment="1" applyProtection="1">
      <alignment horizontal="center" vertical="center"/>
      <protection hidden="1"/>
    </xf>
    <xf numFmtId="0" fontId="0" fillId="0" borderId="98" xfId="0" applyBorder="1" applyProtection="1">
      <protection hidden="1"/>
    </xf>
    <xf numFmtId="0" fontId="0" fillId="0" borderId="98" xfId="0" applyBorder="1" applyAlignment="1" applyProtection="1">
      <alignment horizontal="right"/>
      <protection hidden="1"/>
    </xf>
    <xf numFmtId="174" fontId="0" fillId="0" borderId="98" xfId="0" applyNumberFormat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70" fontId="0" fillId="0" borderId="0" xfId="0" applyNumberFormat="1" applyFill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52" fillId="0" borderId="99" xfId="0" applyFont="1" applyFill="1" applyBorder="1" applyAlignment="1" applyProtection="1">
      <alignment horizontal="center"/>
      <protection hidden="1"/>
    </xf>
    <xf numFmtId="0" fontId="53" fillId="0" borderId="100" xfId="0" applyFont="1" applyFill="1" applyBorder="1" applyAlignment="1" applyProtection="1">
      <alignment horizontal="center"/>
      <protection hidden="1"/>
    </xf>
    <xf numFmtId="0" fontId="48" fillId="0" borderId="100" xfId="0" applyFont="1" applyFill="1" applyBorder="1" applyAlignment="1" applyProtection="1">
      <alignment horizontal="center"/>
      <protection hidden="1"/>
    </xf>
    <xf numFmtId="0" fontId="55" fillId="0" borderId="100" xfId="0" applyFont="1" applyFill="1" applyBorder="1" applyAlignment="1" applyProtection="1">
      <alignment horizontal="center"/>
      <protection hidden="1"/>
    </xf>
    <xf numFmtId="0" fontId="52" fillId="0" borderId="100" xfId="0" applyFont="1" applyFill="1" applyBorder="1" applyAlignment="1" applyProtection="1">
      <alignment horizontal="center"/>
      <protection hidden="1"/>
    </xf>
    <xf numFmtId="0" fontId="56" fillId="0" borderId="101" xfId="0" applyFont="1" applyFill="1" applyBorder="1" applyAlignment="1" applyProtection="1">
      <alignment horizontal="center"/>
      <protection hidden="1"/>
    </xf>
    <xf numFmtId="183" fontId="5" fillId="2" borderId="102" xfId="0" applyNumberFormat="1" applyFont="1" applyFill="1" applyBorder="1" applyAlignment="1" applyProtection="1">
      <alignment horizontal="center"/>
      <protection hidden="1"/>
    </xf>
    <xf numFmtId="2" fontId="0" fillId="0" borderId="103" xfId="0" applyNumberFormat="1" applyFont="1" applyBorder="1" applyAlignment="1" applyProtection="1">
      <alignment horizontal="center"/>
      <protection hidden="1"/>
    </xf>
    <xf numFmtId="2" fontId="0" fillId="0" borderId="104" xfId="0" applyNumberFormat="1" applyFont="1" applyBorder="1" applyAlignment="1" applyProtection="1">
      <alignment horizontal="center"/>
      <protection hidden="1"/>
    </xf>
    <xf numFmtId="2" fontId="0" fillId="0" borderId="105" xfId="0" applyNumberFormat="1" applyFont="1" applyBorder="1" applyAlignment="1" applyProtection="1">
      <alignment horizontal="center"/>
      <protection hidden="1"/>
    </xf>
    <xf numFmtId="2" fontId="0" fillId="3" borderId="103" xfId="0" applyNumberFormat="1" applyFont="1" applyFill="1" applyBorder="1" applyAlignment="1" applyProtection="1">
      <alignment horizontal="center"/>
      <protection hidden="1"/>
    </xf>
    <xf numFmtId="2" fontId="57" fillId="0" borderId="104" xfId="0" applyNumberFormat="1" applyFont="1" applyFill="1" applyBorder="1" applyAlignment="1" applyProtection="1">
      <alignment horizontal="center"/>
      <protection hidden="1"/>
    </xf>
    <xf numFmtId="2" fontId="51" fillId="0" borderId="105" xfId="0" applyNumberFormat="1" applyFont="1" applyFill="1" applyBorder="1" applyAlignment="1" applyProtection="1">
      <alignment horizontal="center"/>
      <protection hidden="1"/>
    </xf>
    <xf numFmtId="2" fontId="58" fillId="3" borderId="105" xfId="0" applyNumberFormat="1" applyFont="1" applyFill="1" applyBorder="1" applyAlignment="1" applyProtection="1">
      <alignment horizontal="center"/>
      <protection hidden="1"/>
    </xf>
    <xf numFmtId="0" fontId="0" fillId="0" borderId="103" xfId="0" applyFill="1" applyBorder="1" applyProtection="1">
      <protection hidden="1"/>
    </xf>
    <xf numFmtId="2" fontId="7" fillId="0" borderId="107" xfId="0" applyNumberFormat="1" applyFont="1" applyBorder="1" applyAlignment="1" applyProtection="1">
      <alignment horizontal="center"/>
      <protection hidden="1"/>
    </xf>
    <xf numFmtId="174" fontId="17" fillId="0" borderId="108" xfId="0" applyNumberFormat="1" applyFont="1" applyBorder="1" applyAlignment="1" applyProtection="1">
      <alignment horizontal="center"/>
      <protection hidden="1"/>
    </xf>
    <xf numFmtId="174" fontId="17" fillId="0" borderId="109" xfId="0" applyNumberFormat="1" applyFont="1" applyBorder="1" applyAlignment="1" applyProtection="1">
      <alignment horizontal="center"/>
      <protection hidden="1"/>
    </xf>
    <xf numFmtId="174" fontId="17" fillId="3" borderId="107" xfId="0" applyNumberFormat="1" applyFont="1" applyFill="1" applyBorder="1" applyAlignment="1" applyProtection="1">
      <alignment horizontal="center"/>
      <protection hidden="1"/>
    </xf>
    <xf numFmtId="174" fontId="17" fillId="3" borderId="109" xfId="0" applyNumberFormat="1" applyFont="1" applyFill="1" applyBorder="1" applyAlignment="1" applyProtection="1">
      <alignment horizontal="center"/>
      <protection hidden="1"/>
    </xf>
    <xf numFmtId="0" fontId="0" fillId="0" borderId="107" xfId="0" applyFill="1" applyBorder="1" applyProtection="1">
      <protection hidden="1"/>
    </xf>
    <xf numFmtId="174" fontId="7" fillId="2" borderId="106" xfId="0" applyNumberFormat="1" applyFont="1" applyFill="1" applyBorder="1" applyAlignment="1" applyProtection="1">
      <alignment horizontal="center" vertical="center"/>
      <protection hidden="1"/>
    </xf>
    <xf numFmtId="174" fontId="7" fillId="0" borderId="108" xfId="0" applyNumberFormat="1" applyFont="1" applyBorder="1" applyAlignment="1" applyProtection="1">
      <alignment horizontal="center"/>
      <protection hidden="1"/>
    </xf>
    <xf numFmtId="174" fontId="7" fillId="0" borderId="109" xfId="0" applyNumberFormat="1" applyFont="1" applyBorder="1" applyAlignment="1" applyProtection="1">
      <alignment horizontal="center"/>
      <protection hidden="1"/>
    </xf>
    <xf numFmtId="174" fontId="7" fillId="3" borderId="107" xfId="0" applyNumberFormat="1" applyFont="1" applyFill="1" applyBorder="1" applyAlignment="1" applyProtection="1">
      <alignment horizontal="center"/>
      <protection hidden="1"/>
    </xf>
    <xf numFmtId="174" fontId="7" fillId="3" borderId="109" xfId="0" applyNumberFormat="1" applyFont="1" applyFill="1" applyBorder="1" applyAlignment="1" applyProtection="1">
      <alignment horizontal="center" vertical="center"/>
      <protection hidden="1"/>
    </xf>
    <xf numFmtId="174" fontId="17" fillId="2" borderId="106" xfId="0" applyNumberFormat="1" applyFont="1" applyFill="1" applyBorder="1" applyAlignment="1" applyProtection="1">
      <alignment horizontal="center" vertical="center"/>
      <protection hidden="1"/>
    </xf>
    <xf numFmtId="2" fontId="7" fillId="0" borderId="110" xfId="0" applyNumberFormat="1" applyFont="1" applyBorder="1" applyAlignment="1" applyProtection="1">
      <alignment horizontal="center"/>
      <protection hidden="1"/>
    </xf>
    <xf numFmtId="174" fontId="7" fillId="3" borderId="111" xfId="0" applyNumberFormat="1" applyFont="1" applyFill="1" applyBorder="1" applyAlignment="1" applyProtection="1">
      <alignment horizontal="center" vertical="center"/>
      <protection hidden="1"/>
    </xf>
    <xf numFmtId="0" fontId="0" fillId="0" borderId="110" xfId="0" applyFill="1" applyBorder="1" applyProtection="1">
      <protection hidden="1"/>
    </xf>
    <xf numFmtId="174" fontId="7" fillId="2" borderId="102" xfId="0" applyNumberFormat="1" applyFont="1" applyFill="1" applyBorder="1" applyAlignment="1" applyProtection="1">
      <alignment horizontal="center" vertical="center"/>
      <protection hidden="1"/>
    </xf>
    <xf numFmtId="170" fontId="7" fillId="0" borderId="103" xfId="0" applyNumberFormat="1" applyFont="1" applyBorder="1" applyAlignment="1" applyProtection="1">
      <alignment horizontal="center"/>
      <protection hidden="1"/>
    </xf>
    <xf numFmtId="0" fontId="7" fillId="0" borderId="104" xfId="0" applyFont="1" applyBorder="1" applyAlignment="1" applyProtection="1">
      <alignment horizontal="center"/>
      <protection hidden="1"/>
    </xf>
    <xf numFmtId="2" fontId="7" fillId="0" borderId="105" xfId="0" applyNumberFormat="1" applyFont="1" applyBorder="1" applyAlignment="1" applyProtection="1">
      <alignment horizontal="center"/>
      <protection hidden="1"/>
    </xf>
    <xf numFmtId="2" fontId="7" fillId="3" borderId="103" xfId="0" applyNumberFormat="1" applyFont="1" applyFill="1" applyBorder="1" applyAlignment="1" applyProtection="1">
      <alignment horizontal="center"/>
      <protection hidden="1"/>
    </xf>
    <xf numFmtId="0" fontId="23" fillId="0" borderId="104" xfId="0" applyFont="1" applyFill="1" applyBorder="1" applyAlignment="1" applyProtection="1">
      <alignment horizontal="center"/>
      <protection hidden="1"/>
    </xf>
    <xf numFmtId="0" fontId="59" fillId="0" borderId="105" xfId="0" applyFont="1" applyFill="1" applyBorder="1" applyAlignment="1" applyProtection="1">
      <alignment horizontal="center"/>
      <protection hidden="1"/>
    </xf>
    <xf numFmtId="0" fontId="0" fillId="3" borderId="105" xfId="0" applyFill="1" applyBorder="1" applyProtection="1">
      <protection hidden="1"/>
    </xf>
    <xf numFmtId="2" fontId="60" fillId="0" borderId="103" xfId="0" applyNumberFormat="1" applyFont="1" applyFill="1" applyBorder="1" applyAlignment="1" applyProtection="1">
      <alignment horizontal="center"/>
      <protection hidden="1"/>
    </xf>
    <xf numFmtId="174" fontId="7" fillId="2" borderId="112" xfId="0" applyNumberFormat="1" applyFont="1" applyFill="1" applyBorder="1" applyAlignment="1" applyProtection="1">
      <alignment horizontal="center" vertical="center"/>
      <protection hidden="1"/>
    </xf>
    <xf numFmtId="0" fontId="7" fillId="0" borderId="113" xfId="0" applyFont="1" applyBorder="1" applyAlignment="1" applyProtection="1">
      <alignment horizontal="center"/>
      <protection hidden="1"/>
    </xf>
    <xf numFmtId="0" fontId="7" fillId="0" borderId="114" xfId="0" applyFont="1" applyBorder="1" applyAlignment="1" applyProtection="1">
      <alignment horizontal="center"/>
      <protection hidden="1"/>
    </xf>
    <xf numFmtId="2" fontId="7" fillId="0" borderId="115" xfId="0" applyNumberFormat="1" applyFont="1" applyBorder="1" applyAlignment="1" applyProtection="1">
      <alignment horizontal="center"/>
      <protection hidden="1"/>
    </xf>
    <xf numFmtId="2" fontId="7" fillId="3" borderId="116" xfId="0" applyNumberFormat="1" applyFont="1" applyFill="1" applyBorder="1" applyAlignment="1" applyProtection="1">
      <alignment horizontal="center"/>
      <protection hidden="1"/>
    </xf>
    <xf numFmtId="0" fontId="23" fillId="0" borderId="117" xfId="0" applyFont="1" applyFill="1" applyBorder="1" applyAlignment="1" applyProtection="1">
      <alignment horizontal="center"/>
      <protection hidden="1"/>
    </xf>
    <xf numFmtId="0" fontId="59" fillId="0" borderId="115" xfId="0" applyFont="1" applyFill="1" applyBorder="1" applyAlignment="1" applyProtection="1">
      <alignment horizontal="center"/>
      <protection hidden="1"/>
    </xf>
    <xf numFmtId="0" fontId="0" fillId="3" borderId="115" xfId="0" applyFill="1" applyBorder="1" applyProtection="1">
      <protection hidden="1"/>
    </xf>
    <xf numFmtId="2" fontId="60" fillId="0" borderId="116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84" fontId="0" fillId="2" borderId="77" xfId="0" applyNumberFormat="1" applyFill="1" applyBorder="1" applyAlignment="1" applyProtection="1">
      <alignment horizontal="center"/>
      <protection locked="0"/>
    </xf>
    <xf numFmtId="0" fontId="16" fillId="0" borderId="0" xfId="0" applyFont="1" applyFill="1" applyProtection="1"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" fontId="0" fillId="0" borderId="0" xfId="0" applyNumberFormat="1" applyProtection="1">
      <protection hidden="1"/>
    </xf>
    <xf numFmtId="167" fontId="5" fillId="0" borderId="8" xfId="0" applyNumberFormat="1" applyFont="1" applyFill="1" applyBorder="1" applyAlignment="1" applyProtection="1">
      <alignment horizontal="right" vertical="center"/>
      <protection hidden="1"/>
    </xf>
    <xf numFmtId="167" fontId="5" fillId="0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165" fontId="5" fillId="0" borderId="33" xfId="0" applyNumberFormat="1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Fill="1" applyBorder="1" applyAlignment="1" applyProtection="1">
      <alignment horizontal="right" vertical="center"/>
      <protection hidden="1"/>
    </xf>
    <xf numFmtId="165" fontId="5" fillId="0" borderId="9" xfId="0" applyNumberFormat="1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Alignment="1" applyProtection="1">
      <alignment vertical="center"/>
      <protection hidden="1"/>
    </xf>
    <xf numFmtId="165" fontId="5" fillId="0" borderId="6" xfId="0" applyNumberFormat="1" applyFont="1" applyFill="1" applyBorder="1" applyAlignment="1" applyProtection="1">
      <alignment horizontal="right" vertical="center"/>
      <protection hidden="1"/>
    </xf>
    <xf numFmtId="165" fontId="5" fillId="0" borderId="32" xfId="0" applyNumberFormat="1" applyFont="1" applyFill="1" applyBorder="1" applyAlignment="1" applyProtection="1">
      <alignment horizontal="center" vertical="center"/>
      <protection hidden="1"/>
    </xf>
    <xf numFmtId="165" fontId="5" fillId="0" borderId="10" xfId="0" applyNumberFormat="1" applyFont="1" applyFill="1" applyBorder="1" applyAlignment="1" applyProtection="1">
      <alignment horizontal="center" vertical="center"/>
      <protection hidden="1"/>
    </xf>
    <xf numFmtId="165" fontId="5" fillId="0" borderId="10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165" fontId="5" fillId="0" borderId="14" xfId="0" applyNumberFormat="1" applyFont="1" applyFill="1" applyBorder="1" applyAlignment="1" applyProtection="1">
      <alignment horizontal="center" vertical="center"/>
      <protection hidden="1"/>
    </xf>
    <xf numFmtId="165" fontId="5" fillId="0" borderId="15" xfId="0" applyNumberFormat="1" applyFont="1" applyFill="1" applyBorder="1" applyAlignment="1" applyProtection="1">
      <alignment horizontal="center" vertical="center"/>
      <protection hidden="1"/>
    </xf>
    <xf numFmtId="165" fontId="5" fillId="0" borderId="13" xfId="0" applyNumberFormat="1" applyFont="1" applyFill="1" applyBorder="1" applyAlignment="1" applyProtection="1">
      <alignment horizontal="center" vertical="center"/>
      <protection hidden="1"/>
    </xf>
    <xf numFmtId="165" fontId="5" fillId="0" borderId="26" xfId="0" applyNumberFormat="1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1" fillId="0" borderId="10" xfId="0" applyNumberFormat="1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174" fontId="8" fillId="0" borderId="0" xfId="0" applyNumberFormat="1" applyFont="1" applyProtection="1">
      <protection hidden="1"/>
    </xf>
    <xf numFmtId="174" fontId="8" fillId="0" borderId="0" xfId="0" applyNumberFormat="1" applyFont="1" applyBorder="1" applyAlignment="1" applyProtection="1">
      <protection hidden="1"/>
    </xf>
    <xf numFmtId="179" fontId="7" fillId="2" borderId="26" xfId="0" applyNumberFormat="1" applyFont="1" applyFill="1" applyBorder="1" applyAlignment="1" applyProtection="1">
      <alignment horizontal="center"/>
      <protection locked="0"/>
    </xf>
    <xf numFmtId="179" fontId="7" fillId="2" borderId="11" xfId="0" applyNumberFormat="1" applyFont="1" applyFill="1" applyBorder="1" applyAlignment="1" applyProtection="1">
      <alignment horizontal="center"/>
      <protection locked="0"/>
    </xf>
    <xf numFmtId="0" fontId="7" fillId="0" borderId="123" xfId="0" applyFont="1" applyBorder="1" applyAlignment="1" applyProtection="1">
      <alignment horizontal="right" vertical="center"/>
      <protection hidden="1"/>
    </xf>
    <xf numFmtId="0" fontId="5" fillId="2" borderId="124" xfId="0" applyFont="1" applyFill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vertical="center"/>
      <protection hidden="1"/>
    </xf>
    <xf numFmtId="0" fontId="7" fillId="0" borderId="122" xfId="0" applyFont="1" applyBorder="1" applyAlignment="1" applyProtection="1">
      <alignment horizontal="right" vertical="center"/>
      <protection hidden="1"/>
    </xf>
    <xf numFmtId="166" fontId="7" fillId="2" borderId="33" xfId="0" applyNumberFormat="1" applyFont="1" applyFill="1" applyBorder="1" applyAlignment="1" applyProtection="1">
      <alignment horizontal="center"/>
      <protection locked="0"/>
    </xf>
    <xf numFmtId="166" fontId="7" fillId="2" borderId="32" xfId="0" applyNumberFormat="1" applyFont="1" applyFill="1" applyBorder="1" applyAlignment="1" applyProtection="1">
      <alignment horizontal="center"/>
      <protection locked="0"/>
    </xf>
    <xf numFmtId="166" fontId="5" fillId="2" borderId="14" xfId="0" applyNumberFormat="1" applyFont="1" applyFill="1" applyBorder="1" applyAlignment="1" applyProtection="1">
      <alignment horizontal="center"/>
      <protection locked="0"/>
    </xf>
    <xf numFmtId="0" fontId="5" fillId="0" borderId="125" xfId="0" applyFont="1" applyBorder="1" applyAlignment="1" applyProtection="1">
      <alignment horizontal="center" vertical="center"/>
      <protection hidden="1"/>
    </xf>
    <xf numFmtId="14" fontId="47" fillId="0" borderId="122" xfId="0" applyNumberFormat="1" applyFont="1" applyFill="1" applyBorder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center"/>
      <protection hidden="1"/>
    </xf>
    <xf numFmtId="0" fontId="35" fillId="0" borderId="14" xfId="0" applyFont="1" applyFill="1" applyBorder="1" applyAlignment="1" applyProtection="1">
      <alignment horizontal="center"/>
      <protection hidden="1"/>
    </xf>
    <xf numFmtId="0" fontId="36" fillId="0" borderId="14" xfId="0" applyFont="1" applyFill="1" applyBorder="1" applyAlignment="1" applyProtection="1">
      <alignment horizontal="center"/>
      <protection hidden="1"/>
    </xf>
    <xf numFmtId="0" fontId="37" fillId="0" borderId="14" xfId="0" applyFont="1" applyFill="1" applyBorder="1" applyAlignment="1" applyProtection="1">
      <alignment horizontal="center"/>
      <protection hidden="1"/>
    </xf>
    <xf numFmtId="0" fontId="38" fillId="0" borderId="119" xfId="0" applyFont="1" applyFill="1" applyBorder="1" applyAlignment="1" applyProtection="1">
      <alignment horizontal="center"/>
      <protection hidden="1"/>
    </xf>
    <xf numFmtId="0" fontId="41" fillId="0" borderId="13" xfId="0" applyFont="1" applyFill="1" applyBorder="1" applyAlignment="1" applyProtection="1">
      <alignment horizontal="center"/>
      <protection hidden="1"/>
    </xf>
    <xf numFmtId="0" fontId="43" fillId="0" borderId="14" xfId="0" applyFont="1" applyFill="1" applyBorder="1" applyAlignment="1" applyProtection="1">
      <alignment horizontal="center"/>
      <protection hidden="1"/>
    </xf>
    <xf numFmtId="0" fontId="15" fillId="0" borderId="14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35" fillId="0" borderId="15" xfId="0" applyFont="1" applyFill="1" applyBorder="1" applyAlignment="1" applyProtection="1">
      <alignment horizontal="center"/>
      <protection hidden="1"/>
    </xf>
    <xf numFmtId="0" fontId="11" fillId="0" borderId="60" xfId="0" applyFont="1" applyFill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78" fontId="0" fillId="0" borderId="0" xfId="0" applyNumberForma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15" fillId="0" borderId="2" xfId="0" applyFont="1" applyBorder="1" applyProtection="1">
      <protection hidden="1"/>
    </xf>
    <xf numFmtId="0" fontId="19" fillId="0" borderId="3" xfId="0" applyFont="1" applyBorder="1" applyAlignment="1" applyProtection="1">
      <alignment horizontal="right" vertical="center"/>
      <protection hidden="1"/>
    </xf>
    <xf numFmtId="0" fontId="7" fillId="0" borderId="1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7" fontId="16" fillId="0" borderId="0" xfId="0" applyNumberFormat="1" applyFont="1" applyBorder="1" applyAlignment="1" applyProtection="1">
      <alignment horizontal="left" vertical="center"/>
      <protection hidden="1"/>
    </xf>
    <xf numFmtId="1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right" vertical="center"/>
      <protection hidden="1"/>
    </xf>
    <xf numFmtId="0" fontId="5" fillId="0" borderId="74" xfId="0" applyFont="1" applyBorder="1" applyAlignment="1" applyProtection="1">
      <alignment horizontal="right" vertical="center"/>
      <protection hidden="1"/>
    </xf>
    <xf numFmtId="0" fontId="5" fillId="0" borderId="68" xfId="0" applyFont="1" applyBorder="1" applyAlignment="1" applyProtection="1">
      <alignment horizontal="right" vertical="center"/>
      <protection hidden="1"/>
    </xf>
    <xf numFmtId="174" fontId="5" fillId="0" borderId="73" xfId="0" applyNumberFormat="1" applyFont="1" applyBorder="1" applyAlignment="1" applyProtection="1">
      <alignment vertical="center"/>
      <protection hidden="1"/>
    </xf>
    <xf numFmtId="0" fontId="5" fillId="0" borderId="74" xfId="0" applyFont="1" applyBorder="1" applyAlignment="1" applyProtection="1">
      <alignment vertical="center"/>
      <protection hidden="1"/>
    </xf>
    <xf numFmtId="178" fontId="5" fillId="0" borderId="67" xfId="0" applyNumberFormat="1" applyFont="1" applyBorder="1" applyAlignment="1" applyProtection="1">
      <alignment vertical="center"/>
      <protection hidden="1"/>
    </xf>
    <xf numFmtId="0" fontId="8" fillId="0" borderId="68" xfId="0" applyFont="1" applyBorder="1" applyAlignment="1" applyProtection="1">
      <alignment vertical="center"/>
      <protection hidden="1"/>
    </xf>
    <xf numFmtId="179" fontId="5" fillId="0" borderId="67" xfId="0" applyNumberFormat="1" applyFont="1" applyBorder="1" applyAlignment="1" applyProtection="1">
      <alignment vertical="center"/>
      <protection hidden="1"/>
    </xf>
    <xf numFmtId="2" fontId="5" fillId="0" borderId="67" xfId="0" applyNumberFormat="1" applyFont="1" applyBorder="1" applyAlignment="1" applyProtection="1">
      <alignment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175" fontId="5" fillId="0" borderId="67" xfId="0" applyNumberFormat="1" applyFont="1" applyBorder="1" applyAlignment="1" applyProtection="1">
      <alignment vertical="center"/>
      <protection hidden="1"/>
    </xf>
    <xf numFmtId="178" fontId="5" fillId="0" borderId="68" xfId="0" applyNumberFormat="1" applyFont="1" applyBorder="1" applyAlignment="1" applyProtection="1">
      <alignment horizontal="left" vertical="center"/>
      <protection hidden="1"/>
    </xf>
    <xf numFmtId="165" fontId="5" fillId="0" borderId="70" xfId="0" applyNumberFormat="1" applyFont="1" applyBorder="1" applyAlignment="1" applyProtection="1">
      <alignment vertical="center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vertical="center"/>
      <protection hidden="1"/>
    </xf>
    <xf numFmtId="0" fontId="8" fillId="0" borderId="66" xfId="0" applyFont="1" applyBorder="1" applyAlignment="1" applyProtection="1">
      <alignment vertical="center"/>
      <protection hidden="1"/>
    </xf>
    <xf numFmtId="0" fontId="8" fillId="0" borderId="69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55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179" fontId="5" fillId="0" borderId="18" xfId="0" applyNumberFormat="1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179" fontId="5" fillId="0" borderId="25" xfId="0" applyNumberFormat="1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179" fontId="5" fillId="0" borderId="2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Protection="1">
      <protection hidden="1"/>
    </xf>
    <xf numFmtId="182" fontId="0" fillId="0" borderId="34" xfId="0" applyNumberFormat="1" applyBorder="1" applyAlignment="1" applyProtection="1">
      <alignment horizontal="center"/>
      <protection hidden="1"/>
    </xf>
    <xf numFmtId="182" fontId="46" fillId="0" borderId="38" xfId="0" applyNumberFormat="1" applyFont="1" applyBorder="1" applyAlignment="1" applyProtection="1">
      <alignment horizont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2" fontId="7" fillId="4" borderId="107" xfId="0" applyNumberFormat="1" applyFont="1" applyFill="1" applyBorder="1" applyAlignment="1" applyProtection="1">
      <alignment horizontal="center"/>
      <protection hidden="1"/>
    </xf>
    <xf numFmtId="174" fontId="7" fillId="4" borderId="108" xfId="0" applyNumberFormat="1" applyFont="1" applyFill="1" applyBorder="1" applyAlignment="1" applyProtection="1">
      <alignment horizontal="center"/>
      <protection hidden="1"/>
    </xf>
    <xf numFmtId="174" fontId="7" fillId="4" borderId="109" xfId="0" applyNumberFormat="1" applyFont="1" applyFill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164" fontId="7" fillId="0" borderId="44" xfId="0" applyNumberFormat="1" applyFont="1" applyBorder="1" applyAlignment="1" applyProtection="1">
      <alignment horizontal="center" vertical="center"/>
      <protection hidden="1"/>
    </xf>
    <xf numFmtId="0" fontId="7" fillId="0" borderId="118" xfId="0" applyFont="1" applyBorder="1" applyAlignment="1" applyProtection="1">
      <alignment horizontal="right"/>
      <protection hidden="1"/>
    </xf>
    <xf numFmtId="164" fontId="7" fillId="0" borderId="118" xfId="0" applyNumberFormat="1" applyFont="1" applyBorder="1" applyAlignment="1" applyProtection="1">
      <alignment horizontal="right" vertical="center"/>
      <protection hidden="1"/>
    </xf>
    <xf numFmtId="0" fontId="7" fillId="0" borderId="118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175" fontId="7" fillId="0" borderId="87" xfId="0" applyNumberFormat="1" applyFont="1" applyBorder="1" applyProtection="1"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63" fillId="0" borderId="0" xfId="0" applyNumberFormat="1" applyFont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right"/>
      <protection hidden="1"/>
    </xf>
    <xf numFmtId="180" fontId="7" fillId="0" borderId="12" xfId="0" applyNumberFormat="1" applyFont="1" applyFill="1" applyBorder="1" applyAlignment="1" applyProtection="1">
      <alignment horizontal="center" vertical="center"/>
      <protection hidden="1"/>
    </xf>
    <xf numFmtId="173" fontId="14" fillId="0" borderId="12" xfId="0" applyNumberFormat="1" applyFont="1" applyFill="1" applyBorder="1" applyAlignment="1" applyProtection="1">
      <alignment horizontal="center"/>
      <protection hidden="1"/>
    </xf>
    <xf numFmtId="164" fontId="15" fillId="0" borderId="38" xfId="0" applyNumberFormat="1" applyFont="1" applyBorder="1" applyAlignment="1" applyProtection="1">
      <alignment horizontal="center" vertical="center"/>
      <protection hidden="1"/>
    </xf>
    <xf numFmtId="180" fontId="7" fillId="0" borderId="11" xfId="0" applyNumberFormat="1" applyFont="1" applyFill="1" applyBorder="1" applyAlignment="1" applyProtection="1">
      <alignment horizontal="center"/>
      <protection hidden="1"/>
    </xf>
    <xf numFmtId="0" fontId="7" fillId="0" borderId="56" xfId="0" applyFont="1" applyFill="1" applyBorder="1" applyAlignment="1" applyProtection="1">
      <alignment horizontal="center" vertical="center"/>
      <protection hidden="1"/>
    </xf>
    <xf numFmtId="165" fontId="7" fillId="0" borderId="57" xfId="0" applyNumberFormat="1" applyFont="1" applyFill="1" applyBorder="1" applyAlignment="1" applyProtection="1">
      <alignment horizontal="center" vertical="center"/>
      <protection hidden="1"/>
    </xf>
    <xf numFmtId="181" fontId="60" fillId="0" borderId="57" xfId="0" applyNumberFormat="1" applyFont="1" applyFill="1" applyBorder="1" applyAlignment="1" applyProtection="1">
      <alignment horizontal="center" vertical="center"/>
      <protection hidden="1"/>
    </xf>
    <xf numFmtId="176" fontId="60" fillId="0" borderId="57" xfId="0" applyNumberFormat="1" applyFont="1" applyFill="1" applyBorder="1" applyAlignment="1" applyProtection="1">
      <alignment horizontal="center" vertical="center"/>
      <protection hidden="1"/>
    </xf>
    <xf numFmtId="184" fontId="60" fillId="0" borderId="120" xfId="0" applyNumberFormat="1" applyFont="1" applyFill="1" applyBorder="1" applyAlignment="1" applyProtection="1">
      <alignment horizontal="center" vertical="center"/>
      <protection hidden="1"/>
    </xf>
    <xf numFmtId="0" fontId="7" fillId="0" borderId="42" xfId="0" applyFont="1" applyFill="1" applyBorder="1" applyAlignment="1" applyProtection="1">
      <alignment horizontal="center" vertical="center"/>
      <protection hidden="1"/>
    </xf>
    <xf numFmtId="165" fontId="7" fillId="0" borderId="59" xfId="0" applyNumberFormat="1" applyFont="1" applyFill="1" applyBorder="1" applyAlignment="1" applyProtection="1">
      <alignment horizontal="center" vertical="center"/>
      <protection hidden="1"/>
    </xf>
    <xf numFmtId="181" fontId="60" fillId="0" borderId="59" xfId="0" applyNumberFormat="1" applyFont="1" applyFill="1" applyBorder="1" applyAlignment="1" applyProtection="1">
      <alignment horizontal="center" vertical="center"/>
      <protection hidden="1"/>
    </xf>
    <xf numFmtId="176" fontId="60" fillId="0" borderId="59" xfId="0" applyNumberFormat="1" applyFont="1" applyFill="1" applyBorder="1" applyAlignment="1" applyProtection="1">
      <alignment horizontal="center" vertical="center"/>
      <protection hidden="1"/>
    </xf>
    <xf numFmtId="184" fontId="60" fillId="0" borderId="121" xfId="0" applyNumberFormat="1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165" fontId="7" fillId="0" borderId="26" xfId="0" applyNumberFormat="1" applyFont="1" applyFill="1" applyBorder="1" applyAlignment="1" applyProtection="1">
      <alignment horizontal="center" vertical="center"/>
      <protection hidden="1"/>
    </xf>
    <xf numFmtId="181" fontId="60" fillId="0" borderId="26" xfId="0" applyNumberFormat="1" applyFont="1" applyFill="1" applyBorder="1" applyAlignment="1" applyProtection="1">
      <alignment horizontal="center" vertical="center"/>
      <protection hidden="1"/>
    </xf>
    <xf numFmtId="176" fontId="60" fillId="0" borderId="26" xfId="0" applyNumberFormat="1" applyFont="1" applyFill="1" applyBorder="1" applyAlignment="1" applyProtection="1">
      <alignment horizontal="center" vertical="center"/>
      <protection hidden="1"/>
    </xf>
    <xf numFmtId="184" fontId="60" fillId="0" borderId="29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165" fontId="7" fillId="0" borderId="11" xfId="0" applyNumberFormat="1" applyFont="1" applyFill="1" applyBorder="1" applyAlignment="1" applyProtection="1">
      <alignment horizontal="center" vertical="center"/>
      <protection hidden="1"/>
    </xf>
    <xf numFmtId="181" fontId="60" fillId="0" borderId="11" xfId="0" applyNumberFormat="1" applyFont="1" applyFill="1" applyBorder="1" applyAlignment="1" applyProtection="1">
      <alignment horizontal="center" vertical="center"/>
      <protection hidden="1"/>
    </xf>
    <xf numFmtId="176" fontId="60" fillId="0" borderId="11" xfId="0" applyNumberFormat="1" applyFont="1" applyFill="1" applyBorder="1" applyAlignment="1" applyProtection="1">
      <alignment horizontal="center" vertical="center"/>
      <protection hidden="1"/>
    </xf>
    <xf numFmtId="184" fontId="60" fillId="0" borderId="16" xfId="0" applyNumberFormat="1" applyFont="1" applyFill="1" applyBorder="1" applyAlignment="1" applyProtection="1">
      <alignment horizontal="center" vertical="center"/>
      <protection hidden="1"/>
    </xf>
    <xf numFmtId="164" fontId="7" fillId="0" borderId="56" xfId="0" applyNumberFormat="1" applyFont="1" applyFill="1" applyBorder="1" applyAlignment="1" applyProtection="1">
      <alignment horizontal="center" vertical="center"/>
      <protection hidden="1"/>
    </xf>
    <xf numFmtId="164" fontId="7" fillId="0" borderId="57" xfId="0" applyNumberFormat="1" applyFont="1" applyFill="1" applyBorder="1" applyAlignment="1" applyProtection="1">
      <alignment horizontal="center" vertical="center"/>
      <protection hidden="1"/>
    </xf>
    <xf numFmtId="174" fontId="17" fillId="0" borderId="58" xfId="0" applyNumberFormat="1" applyFont="1" applyFill="1" applyBorder="1" applyAlignment="1" applyProtection="1">
      <alignment horizontal="center" vertical="center"/>
      <protection hidden="1"/>
    </xf>
    <xf numFmtId="174" fontId="47" fillId="0" borderId="64" xfId="0" applyNumberFormat="1" applyFont="1" applyFill="1" applyBorder="1" applyAlignment="1" applyProtection="1">
      <alignment horizontal="center" vertical="center"/>
      <protection hidden="1"/>
    </xf>
    <xf numFmtId="164" fontId="7" fillId="0" borderId="42" xfId="0" applyNumberFormat="1" applyFont="1" applyFill="1" applyBorder="1" applyAlignment="1" applyProtection="1">
      <alignment horizontal="center" vertical="center"/>
      <protection hidden="1"/>
    </xf>
    <xf numFmtId="164" fontId="7" fillId="0" borderId="59" xfId="0" applyNumberFormat="1" applyFont="1" applyFill="1" applyBorder="1" applyAlignment="1" applyProtection="1">
      <alignment horizontal="center" vertical="center"/>
      <protection hidden="1"/>
    </xf>
    <xf numFmtId="174" fontId="17" fillId="0" borderId="34" xfId="0" applyNumberFormat="1" applyFont="1" applyFill="1" applyBorder="1" applyAlignment="1" applyProtection="1">
      <alignment horizontal="center" vertical="center"/>
      <protection hidden="1"/>
    </xf>
    <xf numFmtId="174" fontId="47" fillId="0" borderId="65" xfId="0" applyNumberFormat="1" applyFont="1" applyFill="1" applyBorder="1" applyAlignment="1" applyProtection="1">
      <alignment horizontal="center" vertical="center"/>
      <protection hidden="1"/>
    </xf>
    <xf numFmtId="164" fontId="7" fillId="0" borderId="8" xfId="0" applyNumberFormat="1" applyFont="1" applyFill="1" applyBorder="1" applyAlignment="1" applyProtection="1">
      <alignment horizontal="center" vertical="center"/>
      <protection hidden="1"/>
    </xf>
    <xf numFmtId="164" fontId="7" fillId="0" borderId="26" xfId="0" applyNumberFormat="1" applyFont="1" applyFill="1" applyBorder="1" applyAlignment="1" applyProtection="1">
      <alignment horizontal="center" vertical="center"/>
      <protection hidden="1"/>
    </xf>
    <xf numFmtId="174" fontId="17" fillId="0" borderId="33" xfId="0" applyNumberFormat="1" applyFont="1" applyFill="1" applyBorder="1" applyAlignment="1" applyProtection="1">
      <alignment horizontal="center" vertical="center"/>
      <protection hidden="1"/>
    </xf>
    <xf numFmtId="174" fontId="47" fillId="0" borderId="39" xfId="0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164" fontId="7" fillId="0" borderId="11" xfId="0" applyNumberFormat="1" applyFont="1" applyFill="1" applyBorder="1" applyAlignment="1" applyProtection="1">
      <alignment horizontal="center" vertical="center"/>
      <protection hidden="1"/>
    </xf>
    <xf numFmtId="174" fontId="17" fillId="0" borderId="32" xfId="0" applyNumberFormat="1" applyFont="1" applyFill="1" applyBorder="1" applyAlignment="1" applyProtection="1">
      <alignment horizontal="center" vertical="center"/>
      <protection hidden="1"/>
    </xf>
    <xf numFmtId="174" fontId="47" fillId="0" borderId="40" xfId="0" applyNumberFormat="1" applyFont="1" applyFill="1" applyBorder="1" applyAlignment="1" applyProtection="1">
      <alignment horizontal="center" vertical="center"/>
      <protection hidden="1"/>
    </xf>
    <xf numFmtId="176" fontId="7" fillId="0" borderId="26" xfId="0" applyNumberFormat="1" applyFont="1" applyBorder="1" applyAlignment="1" applyProtection="1">
      <alignment horizontal="center" vertical="center"/>
      <protection hidden="1"/>
    </xf>
    <xf numFmtId="176" fontId="14" fillId="0" borderId="126" xfId="0" applyNumberFormat="1" applyFont="1" applyBorder="1" applyAlignment="1" applyProtection="1">
      <alignment horizontal="center" vertical="center"/>
      <protection hidden="1"/>
    </xf>
    <xf numFmtId="164" fontId="15" fillId="0" borderId="129" xfId="0" applyNumberFormat="1" applyFont="1" applyBorder="1" applyAlignment="1" applyProtection="1">
      <alignment horizontal="center" vertical="center"/>
      <protection hidden="1"/>
    </xf>
    <xf numFmtId="164" fontId="15" fillId="0" borderId="36" xfId="0" applyNumberFormat="1" applyFont="1" applyBorder="1" applyAlignment="1" applyProtection="1">
      <alignment horizontal="center" vertical="center"/>
      <protection hidden="1"/>
    </xf>
    <xf numFmtId="164" fontId="7" fillId="0" borderId="30" xfId="0" applyNumberFormat="1" applyFont="1" applyBorder="1" applyAlignment="1" applyProtection="1">
      <alignment horizontal="center" vertical="center"/>
      <protection hidden="1"/>
    </xf>
    <xf numFmtId="164" fontId="7" fillId="0" borderId="43" xfId="0" applyNumberFormat="1" applyFont="1" applyBorder="1" applyAlignment="1" applyProtection="1">
      <alignment horizontal="center" vertical="center"/>
      <protection hidden="1"/>
    </xf>
    <xf numFmtId="164" fontId="7" fillId="0" borderId="131" xfId="0" applyNumberFormat="1" applyFont="1" applyBorder="1" applyAlignment="1" applyProtection="1">
      <alignment horizontal="center" vertical="center"/>
      <protection hidden="1"/>
    </xf>
    <xf numFmtId="165" fontId="15" fillId="0" borderId="128" xfId="0" applyNumberFormat="1" applyFont="1" applyBorder="1" applyAlignment="1" applyProtection="1">
      <alignment horizontal="center" vertical="center"/>
      <protection hidden="1"/>
    </xf>
    <xf numFmtId="165" fontId="7" fillId="0" borderId="62" xfId="0" applyNumberFormat="1" applyFont="1" applyBorder="1" applyAlignment="1" applyProtection="1">
      <alignment horizontal="center" vertical="center"/>
      <protection hidden="1"/>
    </xf>
    <xf numFmtId="165" fontId="7" fillId="0" borderId="132" xfId="0" applyNumberFormat="1" applyFont="1" applyBorder="1" applyAlignment="1" applyProtection="1">
      <alignment horizontal="center" vertical="center"/>
      <protection hidden="1"/>
    </xf>
    <xf numFmtId="164" fontId="15" fillId="0" borderId="133" xfId="0" applyNumberFormat="1" applyFont="1" applyBorder="1" applyAlignment="1" applyProtection="1">
      <alignment horizontal="center" vertical="center"/>
      <protection hidden="1"/>
    </xf>
    <xf numFmtId="173" fontId="14" fillId="0" borderId="29" xfId="0" applyNumberFormat="1" applyFont="1" applyBorder="1" applyAlignment="1" applyProtection="1">
      <alignment horizontal="center" vertical="center"/>
      <protection hidden="1"/>
    </xf>
    <xf numFmtId="173" fontId="14" fillId="0" borderId="130" xfId="0" applyNumberFormat="1" applyFont="1" applyBorder="1" applyAlignment="1" applyProtection="1">
      <alignment horizontal="center" vertical="center"/>
      <protection hidden="1"/>
    </xf>
    <xf numFmtId="175" fontId="5" fillId="0" borderId="31" xfId="0" applyNumberFormat="1" applyFont="1" applyBorder="1" applyAlignment="1" applyProtection="1">
      <alignment vertical="center"/>
      <protection hidden="1"/>
    </xf>
    <xf numFmtId="164" fontId="15" fillId="0" borderId="127" xfId="0" applyNumberFormat="1" applyFont="1" applyBorder="1" applyAlignment="1" applyProtection="1">
      <alignment horizontal="center" vertical="center"/>
      <protection hidden="1"/>
    </xf>
    <xf numFmtId="164" fontId="15" fillId="0" borderId="35" xfId="0" applyNumberFormat="1" applyFont="1" applyBorder="1" applyAlignment="1" applyProtection="1">
      <alignment horizontal="center" vertical="center"/>
      <protection hidden="1"/>
    </xf>
    <xf numFmtId="164" fontId="15" fillId="0" borderId="44" xfId="0" applyNumberFormat="1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 vertical="center"/>
      <protection hidden="1"/>
    </xf>
    <xf numFmtId="164" fontId="7" fillId="0" borderId="134" xfId="0" applyNumberFormat="1" applyFont="1" applyBorder="1" applyAlignment="1" applyProtection="1">
      <alignment horizontal="right" vertical="center"/>
      <protection hidden="1"/>
    </xf>
    <xf numFmtId="164" fontId="7" fillId="0" borderId="35" xfId="0" applyNumberFormat="1" applyFont="1" applyBorder="1" applyAlignment="1" applyProtection="1">
      <alignment horizontal="center" vertical="center"/>
      <protection hidden="1"/>
    </xf>
    <xf numFmtId="176" fontId="7" fillId="0" borderId="120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5" fillId="0" borderId="27" xfId="0" applyNumberFormat="1" applyFont="1" applyBorder="1" applyAlignment="1" applyProtection="1">
      <alignment horizontal="left" vertical="center"/>
      <protection hidden="1"/>
    </xf>
    <xf numFmtId="164" fontId="7" fillId="0" borderId="28" xfId="0" applyNumberFormat="1" applyFont="1" applyBorder="1" applyAlignment="1" applyProtection="1">
      <alignment horizontal="center" vertical="center"/>
      <protection hidden="1"/>
    </xf>
    <xf numFmtId="166" fontId="5" fillId="2" borderId="77" xfId="0" applyNumberFormat="1" applyFont="1" applyFill="1" applyBorder="1" applyAlignment="1" applyProtection="1">
      <alignment horizontal="center" vertical="center"/>
      <protection locked="0"/>
    </xf>
    <xf numFmtId="175" fontId="5" fillId="2" borderId="77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/>
      <protection hidden="1"/>
    </xf>
    <xf numFmtId="180" fontId="17" fillId="0" borderId="7" xfId="0" applyNumberFormat="1" applyFont="1" applyBorder="1" applyAlignment="1" applyProtection="1">
      <alignment horizontal="center"/>
      <protection hidden="1"/>
    </xf>
    <xf numFmtId="180" fontId="7" fillId="0" borderId="7" xfId="0" applyNumberFormat="1" applyFont="1" applyBorder="1" applyAlignment="1" applyProtection="1">
      <alignment horizontal="center" vertical="center"/>
      <protection hidden="1"/>
    </xf>
    <xf numFmtId="185" fontId="17" fillId="0" borderId="7" xfId="0" applyNumberFormat="1" applyFont="1" applyBorder="1" applyAlignment="1" applyProtection="1">
      <alignment horizontal="center"/>
      <protection hidden="1"/>
    </xf>
    <xf numFmtId="185" fontId="7" fillId="0" borderId="7" xfId="0" applyNumberFormat="1" applyFont="1" applyBorder="1" applyAlignment="1" applyProtection="1">
      <alignment horizontal="center" vertical="center"/>
      <protection hidden="1"/>
    </xf>
    <xf numFmtId="171" fontId="7" fillId="0" borderId="6" xfId="0" applyNumberFormat="1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170" fontId="7" fillId="0" borderId="7" xfId="0" applyNumberFormat="1" applyFont="1" applyBorder="1" applyAlignment="1" applyProtection="1">
      <alignment horizontal="center"/>
      <protection hidden="1"/>
    </xf>
    <xf numFmtId="171" fontId="7" fillId="0" borderId="7" xfId="0" applyNumberFormat="1" applyFont="1" applyBorder="1" applyAlignment="1" applyProtection="1">
      <alignment horizontal="center"/>
      <protection hidden="1"/>
    </xf>
    <xf numFmtId="173" fontId="7" fillId="0" borderId="7" xfId="0" applyNumberFormat="1" applyFont="1" applyBorder="1" applyAlignment="1" applyProtection="1">
      <alignment horizontal="center"/>
      <protection hidden="1"/>
    </xf>
    <xf numFmtId="164" fontId="5" fillId="0" borderId="31" xfId="0" applyNumberFormat="1" applyFont="1" applyBorder="1" applyAlignment="1" applyProtection="1">
      <alignment horizontal="right" vertical="center"/>
      <protection hidden="1"/>
    </xf>
    <xf numFmtId="174" fontId="31" fillId="0" borderId="62" xfId="0" applyNumberFormat="1" applyFont="1" applyBorder="1" applyAlignment="1" applyProtection="1">
      <alignment horizontal="right" vertical="center"/>
      <protection hidden="1"/>
    </xf>
    <xf numFmtId="174" fontId="7" fillId="0" borderId="135" xfId="0" applyNumberFormat="1" applyFont="1" applyBorder="1" applyAlignment="1" applyProtection="1">
      <alignment horizontal="right" vertical="center"/>
      <protection hidden="1"/>
    </xf>
    <xf numFmtId="174" fontId="31" fillId="0" borderId="135" xfId="0" applyNumberFormat="1" applyFont="1" applyBorder="1" applyAlignment="1" applyProtection="1">
      <alignment horizontal="right" vertical="center"/>
      <protection hidden="1"/>
    </xf>
    <xf numFmtId="174" fontId="7" fillId="0" borderId="28" xfId="0" applyNumberFormat="1" applyFont="1" applyBorder="1" applyAlignment="1" applyProtection="1">
      <alignment horizontal="right"/>
      <protection hidden="1"/>
    </xf>
    <xf numFmtId="174" fontId="7" fillId="0" borderId="35" xfId="0" applyNumberFormat="1" applyFont="1" applyBorder="1" applyProtection="1">
      <protection hidden="1"/>
    </xf>
    <xf numFmtId="164" fontId="5" fillId="0" borderId="63" xfId="0" applyNumberFormat="1" applyFont="1" applyBorder="1" applyAlignment="1" applyProtection="1">
      <alignment horizontal="right" vertical="center"/>
      <protection hidden="1"/>
    </xf>
    <xf numFmtId="164" fontId="31" fillId="0" borderId="8" xfId="0" applyNumberFormat="1" applyFont="1" applyBorder="1" applyAlignment="1" applyProtection="1">
      <alignment horizontal="right" vertic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Protection="1">
      <protection hidden="1"/>
    </xf>
    <xf numFmtId="164" fontId="14" fillId="0" borderId="43" xfId="0" applyNumberFormat="1" applyFont="1" applyBorder="1" applyAlignment="1" applyProtection="1">
      <alignment horizontal="center"/>
      <protection hidden="1"/>
    </xf>
    <xf numFmtId="0" fontId="8" fillId="0" borderId="16" xfId="0" applyFont="1" applyBorder="1" applyProtection="1">
      <protection hidden="1"/>
    </xf>
    <xf numFmtId="164" fontId="14" fillId="0" borderId="45" xfId="0" applyNumberFormat="1" applyFont="1" applyBorder="1" applyAlignment="1" applyProtection="1">
      <alignment horizontal="center"/>
      <protection hidden="1"/>
    </xf>
    <xf numFmtId="176" fontId="7" fillId="0" borderId="26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168" fontId="24" fillId="0" borderId="0" xfId="0" applyNumberFormat="1" applyFont="1" applyBorder="1" applyAlignment="1" applyProtection="1">
      <alignment horizontal="left" vertical="center"/>
      <protection hidden="1"/>
    </xf>
    <xf numFmtId="164" fontId="5" fillId="0" borderId="46" xfId="0" applyNumberFormat="1" applyFont="1" applyBorder="1" applyAlignment="1" applyProtection="1">
      <alignment horizontal="left" vertical="center"/>
      <protection hidden="1"/>
    </xf>
    <xf numFmtId="2" fontId="7" fillId="0" borderId="53" xfId="0" applyNumberFormat="1" applyFont="1" applyBorder="1" applyAlignment="1" applyProtection="1">
      <alignment horizontal="center" vertical="center"/>
      <protection hidden="1"/>
    </xf>
    <xf numFmtId="2" fontId="7" fillId="0" borderId="51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66" fillId="0" borderId="138" xfId="0" applyFont="1" applyBorder="1" applyAlignment="1" applyProtection="1">
      <alignment horizontal="right" vertical="center"/>
      <protection hidden="1"/>
    </xf>
    <xf numFmtId="174" fontId="8" fillId="0" borderId="82" xfId="0" applyNumberFormat="1" applyFont="1" applyBorder="1" applyAlignment="1" applyProtection="1">
      <alignment horizontal="center" vertical="center"/>
      <protection hidden="1"/>
    </xf>
    <xf numFmtId="164" fontId="8" fillId="0" borderId="82" xfId="0" applyNumberFormat="1" applyFont="1" applyBorder="1" applyAlignment="1" applyProtection="1">
      <alignment horizontal="center" vertical="center"/>
      <protection hidden="1"/>
    </xf>
    <xf numFmtId="0" fontId="8" fillId="0" borderId="138" xfId="0" applyFont="1" applyBorder="1" applyAlignment="1" applyProtection="1">
      <alignment horizontal="right" vertical="center"/>
      <protection hidden="1"/>
    </xf>
    <xf numFmtId="2" fontId="8" fillId="0" borderId="138" xfId="0" applyNumberFormat="1" applyFont="1" applyBorder="1" applyAlignment="1" applyProtection="1">
      <alignment horizontal="right" vertical="center"/>
      <protection hidden="1"/>
    </xf>
    <xf numFmtId="174" fontId="8" fillId="0" borderId="138" xfId="0" applyNumberFormat="1" applyFont="1" applyBorder="1" applyAlignment="1" applyProtection="1">
      <alignment horizontal="right" vertical="center"/>
      <protection hidden="1"/>
    </xf>
    <xf numFmtId="0" fontId="65" fillId="0" borderId="138" xfId="0" applyFont="1" applyBorder="1" applyAlignment="1" applyProtection="1">
      <alignment horizontal="right" vertical="center"/>
      <protection hidden="1"/>
    </xf>
    <xf numFmtId="0" fontId="8" fillId="0" borderId="139" xfId="0" applyFont="1" applyBorder="1" applyAlignment="1" applyProtection="1">
      <alignment horizontal="right" vertical="center"/>
      <protection hidden="1"/>
    </xf>
    <xf numFmtId="0" fontId="8" fillId="0" borderId="140" xfId="0" applyFont="1" applyBorder="1" applyAlignment="1" applyProtection="1">
      <alignment horizontal="center"/>
      <protection hidden="1"/>
    </xf>
    <xf numFmtId="0" fontId="5" fillId="0" borderId="140" xfId="0" applyFont="1" applyBorder="1" applyAlignment="1" applyProtection="1">
      <alignment horizontal="left" vertical="center"/>
      <protection hidden="1"/>
    </xf>
    <xf numFmtId="178" fontId="0" fillId="0" borderId="141" xfId="0" applyNumberFormat="1" applyBorder="1" applyAlignment="1" applyProtection="1">
      <alignment horizontal="center"/>
      <protection hidden="1"/>
    </xf>
    <xf numFmtId="174" fontId="8" fillId="0" borderId="142" xfId="0" applyNumberFormat="1" applyFont="1" applyBorder="1" applyAlignment="1" applyProtection="1">
      <alignment horizontal="right" vertical="center"/>
      <protection hidden="1"/>
    </xf>
    <xf numFmtId="174" fontId="8" fillId="0" borderId="143" xfId="0" applyNumberFormat="1" applyFont="1" applyBorder="1" applyAlignment="1" applyProtection="1">
      <alignment horizontal="center" vertical="center"/>
      <protection hidden="1"/>
    </xf>
    <xf numFmtId="164" fontId="8" fillId="0" borderId="143" xfId="0" applyNumberFormat="1" applyFont="1" applyBorder="1" applyAlignment="1" applyProtection="1">
      <alignment horizontal="center" vertical="center"/>
      <protection hidden="1"/>
    </xf>
    <xf numFmtId="174" fontId="8" fillId="0" borderId="78" xfId="0" applyNumberFormat="1" applyFont="1" applyBorder="1" applyAlignment="1" applyProtection="1">
      <alignment horizontal="center" vertical="center"/>
      <protection hidden="1"/>
    </xf>
    <xf numFmtId="164" fontId="8" fillId="0" borderId="78" xfId="0" applyNumberFormat="1" applyFont="1" applyBorder="1" applyAlignment="1" applyProtection="1">
      <alignment horizontal="center" vertical="center"/>
      <protection hidden="1"/>
    </xf>
    <xf numFmtId="0" fontId="65" fillId="0" borderId="136" xfId="0" applyFont="1" applyBorder="1" applyAlignment="1" applyProtection="1">
      <alignment horizontal="right" vertical="center"/>
      <protection hidden="1"/>
    </xf>
    <xf numFmtId="174" fontId="8" fillId="0" borderId="137" xfId="0" applyNumberFormat="1" applyFont="1" applyBorder="1" applyAlignment="1" applyProtection="1">
      <alignment horizontal="center" vertical="center"/>
      <protection hidden="1"/>
    </xf>
    <xf numFmtId="164" fontId="8" fillId="0" borderId="137" xfId="0" applyNumberFormat="1" applyFont="1" applyBorder="1" applyAlignment="1" applyProtection="1">
      <alignment horizontal="center" vertical="center"/>
      <protection hidden="1"/>
    </xf>
    <xf numFmtId="0" fontId="28" fillId="0" borderId="139" xfId="0" applyFont="1" applyBorder="1" applyAlignment="1" applyProtection="1">
      <alignment horizontal="right" vertical="center"/>
      <protection hidden="1"/>
    </xf>
    <xf numFmtId="0" fontId="28" fillId="0" borderId="142" xfId="0" applyFont="1" applyBorder="1" applyAlignment="1" applyProtection="1">
      <alignment horizontal="right" vertical="center"/>
      <protection hidden="1"/>
    </xf>
    <xf numFmtId="0" fontId="64" fillId="0" borderId="144" xfId="0" applyFont="1" applyBorder="1" applyAlignment="1" applyProtection="1">
      <alignment horizontal="center" vertical="center"/>
      <protection hidden="1"/>
    </xf>
    <xf numFmtId="0" fontId="8" fillId="0" borderId="78" xfId="0" applyFont="1" applyBorder="1" applyAlignment="1" applyProtection="1">
      <alignment horizontal="center" vertical="center"/>
      <protection hidden="1"/>
    </xf>
    <xf numFmtId="0" fontId="8" fillId="0" borderId="145" xfId="0" applyFont="1" applyBorder="1" applyAlignment="1" applyProtection="1">
      <alignment horizontal="right" vertical="center"/>
      <protection hidden="1"/>
    </xf>
    <xf numFmtId="0" fontId="5" fillId="0" borderId="78" xfId="0" applyFont="1" applyBorder="1" applyAlignment="1" applyProtection="1">
      <alignment horizontal="left" vertical="center"/>
      <protection hidden="1"/>
    </xf>
    <xf numFmtId="178" fontId="0" fillId="0" borderId="146" xfId="0" applyNumberFormat="1" applyBorder="1" applyAlignment="1" applyProtection="1">
      <alignment horizontal="center" vertical="center"/>
      <protection hidden="1"/>
    </xf>
    <xf numFmtId="0" fontId="28" fillId="0" borderId="141" xfId="0" applyNumberFormat="1" applyFont="1" applyBorder="1" applyAlignment="1" applyProtection="1">
      <alignment horizontal="center" vertical="center"/>
      <protection hidden="1"/>
    </xf>
    <xf numFmtId="0" fontId="8" fillId="0" borderId="147" xfId="0" applyFont="1" applyBorder="1" applyAlignment="1" applyProtection="1">
      <alignment horizontal="right"/>
      <protection hidden="1"/>
    </xf>
    <xf numFmtId="0" fontId="8" fillId="0" borderId="148" xfId="0" applyFont="1" applyBorder="1" applyAlignment="1" applyProtection="1">
      <alignment horizontal="center" vertical="center"/>
      <protection hidden="1"/>
    </xf>
    <xf numFmtId="0" fontId="0" fillId="0" borderId="151" xfId="0" applyBorder="1" applyAlignment="1" applyProtection="1">
      <alignment horizontal="center" vertical="center"/>
      <protection hidden="1"/>
    </xf>
    <xf numFmtId="0" fontId="66" fillId="0" borderId="145" xfId="0" applyFont="1" applyBorder="1" applyAlignment="1" applyProtection="1">
      <alignment horizontal="right" vertical="center"/>
      <protection hidden="1"/>
    </xf>
    <xf numFmtId="0" fontId="7" fillId="0" borderId="148" xfId="0" applyFont="1" applyBorder="1" applyAlignment="1" applyProtection="1">
      <alignment horizontal="right" vertical="center"/>
      <protection hidden="1"/>
    </xf>
    <xf numFmtId="0" fontId="8" fillId="0" borderId="149" xfId="0" applyFont="1" applyBorder="1" applyAlignment="1" applyProtection="1">
      <alignment horizontal="center" vertical="center"/>
      <protection hidden="1"/>
    </xf>
    <xf numFmtId="170" fontId="28" fillId="0" borderId="140" xfId="0" applyNumberFormat="1" applyFont="1" applyBorder="1" applyAlignment="1" applyProtection="1">
      <alignment horizontal="center" vertical="center"/>
      <protection hidden="1"/>
    </xf>
    <xf numFmtId="170" fontId="28" fillId="0" borderId="143" xfId="0" applyNumberFormat="1" applyFont="1" applyBorder="1" applyAlignment="1" applyProtection="1">
      <alignment horizontal="center" vertical="center"/>
      <protection hidden="1"/>
    </xf>
    <xf numFmtId="173" fontId="28" fillId="0" borderId="143" xfId="0" applyNumberFormat="1" applyFont="1" applyBorder="1" applyAlignment="1" applyProtection="1">
      <alignment horizontal="center" vertical="center"/>
      <protection hidden="1"/>
    </xf>
    <xf numFmtId="173" fontId="28" fillId="0" borderId="140" xfId="0" applyNumberFormat="1" applyFont="1" applyBorder="1" applyAlignment="1" applyProtection="1">
      <alignment horizontal="center" vertical="center"/>
      <protection hidden="1"/>
    </xf>
    <xf numFmtId="165" fontId="8" fillId="0" borderId="148" xfId="0" applyNumberFormat="1" applyFont="1" applyBorder="1" applyAlignment="1" applyProtection="1">
      <alignment horizontal="center" vertical="center"/>
      <protection hidden="1"/>
    </xf>
    <xf numFmtId="0" fontId="8" fillId="0" borderId="150" xfId="0" applyFont="1" applyBorder="1" applyProtection="1">
      <protection hidden="1"/>
    </xf>
    <xf numFmtId="0" fontId="8" fillId="0" borderId="151" xfId="0" applyFont="1" applyBorder="1" applyProtection="1">
      <protection hidden="1"/>
    </xf>
    <xf numFmtId="0" fontId="5" fillId="0" borderId="147" xfId="0" applyFont="1" applyBorder="1" applyAlignment="1" applyProtection="1">
      <alignment horizontal="right" vertical="center"/>
      <protection hidden="1"/>
    </xf>
    <xf numFmtId="0" fontId="5" fillId="0" borderId="148" xfId="0" applyFont="1" applyBorder="1" applyAlignment="1" applyProtection="1">
      <alignment vertical="center"/>
      <protection hidden="1"/>
    </xf>
    <xf numFmtId="0" fontId="8" fillId="0" borderId="150" xfId="0" applyFont="1" applyBorder="1" applyAlignment="1" applyProtection="1">
      <alignment horizontal="right" vertical="center"/>
      <protection hidden="1"/>
    </xf>
    <xf numFmtId="0" fontId="67" fillId="0" borderId="0" xfId="0" applyFont="1" applyProtection="1">
      <protection hidden="1"/>
    </xf>
    <xf numFmtId="164" fontId="68" fillId="0" borderId="0" xfId="0" applyNumberFormat="1" applyFont="1" applyProtection="1">
      <protection hidden="1"/>
    </xf>
    <xf numFmtId="0" fontId="8" fillId="0" borderId="152" xfId="0" applyFont="1" applyBorder="1" applyAlignment="1" applyProtection="1">
      <alignment horizontal="center" vertical="center"/>
      <protection hidden="1"/>
    </xf>
    <xf numFmtId="2" fontId="0" fillId="0" borderId="153" xfId="0" applyNumberFormat="1" applyBorder="1" applyAlignment="1" applyProtection="1">
      <alignment horizontal="center" vertical="center"/>
      <protection hidden="1"/>
    </xf>
    <xf numFmtId="184" fontId="0" fillId="0" borderId="153" xfId="0" applyNumberFormat="1" applyBorder="1" applyAlignment="1" applyProtection="1">
      <alignment horizontal="center" vertical="center"/>
      <protection hidden="1"/>
    </xf>
    <xf numFmtId="174" fontId="8" fillId="0" borderId="153" xfId="0" applyNumberFormat="1" applyFont="1" applyBorder="1" applyAlignment="1" applyProtection="1">
      <alignment horizontal="center" vertical="center"/>
      <protection hidden="1"/>
    </xf>
    <xf numFmtId="178" fontId="0" fillId="0" borderId="153" xfId="0" applyNumberFormat="1" applyBorder="1" applyAlignment="1" applyProtection="1">
      <alignment horizontal="center" vertical="center"/>
      <protection hidden="1"/>
    </xf>
    <xf numFmtId="164" fontId="0" fillId="0" borderId="152" xfId="0" applyNumberFormat="1" applyBorder="1" applyAlignment="1" applyProtection="1">
      <alignment horizontal="center" vertical="center"/>
      <protection hidden="1"/>
    </xf>
    <xf numFmtId="0" fontId="5" fillId="0" borderId="146" xfId="0" applyFont="1" applyBorder="1" applyAlignment="1" applyProtection="1">
      <alignment horizontal="center" vertical="center"/>
      <protection hidden="1"/>
    </xf>
    <xf numFmtId="0" fontId="8" fillId="0" borderId="152" xfId="0" applyNumberFormat="1" applyFont="1" applyBorder="1" applyAlignment="1" applyProtection="1">
      <alignment horizontal="center" vertical="center"/>
      <protection hidden="1"/>
    </xf>
    <xf numFmtId="2" fontId="8" fillId="0" borderId="146" xfId="0" applyNumberFormat="1" applyFont="1" applyBorder="1" applyAlignment="1" applyProtection="1">
      <alignment horizontal="center" vertical="center"/>
      <protection hidden="1"/>
    </xf>
    <xf numFmtId="168" fontId="7" fillId="0" borderId="1" xfId="0" applyNumberFormat="1" applyFont="1" applyBorder="1" applyAlignment="1" applyProtection="1">
      <alignment horizontal="center"/>
      <protection hidden="1"/>
    </xf>
    <xf numFmtId="168" fontId="7" fillId="0" borderId="3" xfId="0" applyNumberFormat="1" applyFont="1" applyBorder="1" applyAlignment="1" applyProtection="1">
      <alignment horizontal="center"/>
      <protection hidden="1"/>
    </xf>
    <xf numFmtId="168" fontId="24" fillId="0" borderId="5" xfId="0" applyNumberFormat="1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right"/>
      <protection hidden="1"/>
    </xf>
    <xf numFmtId="0" fontId="7" fillId="0" borderId="28" xfId="0" applyFont="1" applyBorder="1" applyAlignment="1" applyProtection="1">
      <alignment horizontal="right"/>
      <protection hidden="1"/>
    </xf>
    <xf numFmtId="0" fontId="7" fillId="0" borderId="62" xfId="0" applyFont="1" applyBorder="1" applyAlignment="1" applyProtection="1">
      <alignment horizontal="right"/>
      <protection hidden="1"/>
    </xf>
    <xf numFmtId="168" fontId="7" fillId="0" borderId="2" xfId="0" applyNumberFormat="1" applyFont="1" applyBorder="1" applyAlignment="1" applyProtection="1">
      <alignment horizontal="center"/>
      <protection hidden="1"/>
    </xf>
    <xf numFmtId="168" fontId="7" fillId="2" borderId="1" xfId="0" applyNumberFormat="1" applyFont="1" applyFill="1" applyBorder="1" applyAlignment="1" applyProtection="1">
      <alignment horizontal="center" vertical="center"/>
      <protection locked="0"/>
    </xf>
    <xf numFmtId="168" fontId="7" fillId="2" borderId="3" xfId="0" applyNumberFormat="1" applyFont="1" applyFill="1" applyBorder="1" applyAlignment="1" applyProtection="1">
      <alignment horizontal="center" vertical="center"/>
      <protection locked="0"/>
    </xf>
    <xf numFmtId="169" fontId="7" fillId="0" borderId="1" xfId="0" applyNumberFormat="1" applyFont="1" applyFill="1" applyBorder="1" applyAlignment="1" applyProtection="1">
      <alignment horizontal="center" vertical="center"/>
      <protection hidden="1"/>
    </xf>
    <xf numFmtId="169" fontId="7" fillId="0" borderId="3" xfId="0" applyNumberFormat="1" applyFont="1" applyFill="1" applyBorder="1" applyAlignment="1" applyProtection="1">
      <alignment horizontal="center" vertical="center"/>
      <protection hidden="1"/>
    </xf>
    <xf numFmtId="169" fontId="7" fillId="2" borderId="1" xfId="0" applyNumberFormat="1" applyFont="1" applyFill="1" applyBorder="1" applyAlignment="1" applyProtection="1">
      <alignment horizontal="center" vertical="center"/>
      <protection locked="0"/>
    </xf>
    <xf numFmtId="16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right"/>
      <protection hidden="1"/>
    </xf>
    <xf numFmtId="0" fontId="7" fillId="0" borderId="31" xfId="0" applyFont="1" applyBorder="1" applyAlignment="1" applyProtection="1">
      <alignment horizontal="right"/>
      <protection hidden="1"/>
    </xf>
    <xf numFmtId="0" fontId="7" fillId="0" borderId="63" xfId="0" applyFont="1" applyBorder="1" applyAlignment="1" applyProtection="1">
      <alignment horizontal="right"/>
      <protection hidden="1"/>
    </xf>
    <xf numFmtId="0" fontId="5" fillId="0" borderId="76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61" fillId="0" borderId="2" xfId="0" applyFont="1" applyBorder="1" applyAlignment="1" applyProtection="1">
      <alignment horizontal="right" vertical="center"/>
      <protection hidden="1"/>
    </xf>
    <xf numFmtId="0" fontId="61" fillId="0" borderId="3" xfId="0" applyFont="1" applyBorder="1" applyAlignment="1" applyProtection="1">
      <alignment horizontal="right" vertical="center"/>
      <protection hidden="1"/>
    </xf>
    <xf numFmtId="0" fontId="5" fillId="0" borderId="90" xfId="0" applyFont="1" applyBorder="1" applyAlignment="1" applyProtection="1">
      <alignment horizontal="right" vertical="center"/>
      <protection hidden="1"/>
    </xf>
    <xf numFmtId="0" fontId="5" fillId="0" borderId="91" xfId="0" applyFont="1" applyBorder="1" applyAlignment="1" applyProtection="1">
      <alignment horizontal="right" vertical="center"/>
      <protection hidden="1"/>
    </xf>
    <xf numFmtId="0" fontId="5" fillId="0" borderId="93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95" xfId="0" applyFont="1" applyBorder="1" applyAlignment="1" applyProtection="1">
      <alignment horizontal="right" vertical="center"/>
      <protection hidden="1"/>
    </xf>
    <xf numFmtId="0" fontId="5" fillId="0" borderId="96" xfId="0" applyFont="1" applyBorder="1" applyAlignment="1" applyProtection="1">
      <alignment horizontal="right" vertical="center"/>
      <protection hidden="1"/>
    </xf>
  </cellXfs>
  <cellStyles count="17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Standard" xfId="0" builtinId="0"/>
  </cellStyles>
  <dxfs count="0"/>
  <tableStyles count="0" defaultTableStyle="TableStyleMedium9" defaultPivotStyle="PivotStyleMedium7"/>
  <colors>
    <mruColors>
      <color rgb="FFFDFAD6"/>
      <color rgb="FFFAFDE0"/>
      <color rgb="FFC05C16"/>
      <color rgb="FFFFA1A3"/>
      <color rgb="FFFF9000"/>
      <color rgb="FFFF65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Navigation!$AP$17:$AP$59</c:f>
              <c:numCache>
                <c:formatCode>0.00\°</c:formatCode>
                <c:ptCount val="43"/>
                <c:pt idx="0">
                  <c:v>28.16636634948788</c:v>
                </c:pt>
                <c:pt idx="1">
                  <c:v>28.141366349487882</c:v>
                </c:pt>
                <c:pt idx="2">
                  <c:v>28.116366349487883</c:v>
                </c:pt>
                <c:pt idx="3">
                  <c:v>28.091366349487885</c:v>
                </c:pt>
                <c:pt idx="4">
                  <c:v>28.066366349487886</c:v>
                </c:pt>
                <c:pt idx="5">
                  <c:v>28.041366349487888</c:v>
                </c:pt>
                <c:pt idx="6">
                  <c:v>28.016366349487889</c:v>
                </c:pt>
                <c:pt idx="7">
                  <c:v>27.99136634948789</c:v>
                </c:pt>
                <c:pt idx="8">
                  <c:v>27.966366349487892</c:v>
                </c:pt>
                <c:pt idx="9">
                  <c:v>27.941366349487893</c:v>
                </c:pt>
                <c:pt idx="10">
                  <c:v>27.916366349487895</c:v>
                </c:pt>
                <c:pt idx="11">
                  <c:v>27.891366349487896</c:v>
                </c:pt>
                <c:pt idx="12">
                  <c:v>27.866366349487897</c:v>
                </c:pt>
                <c:pt idx="13">
                  <c:v>27.841366349487899</c:v>
                </c:pt>
                <c:pt idx="14">
                  <c:v>27.8163663494879</c:v>
                </c:pt>
                <c:pt idx="15">
                  <c:v>27.791366349487902</c:v>
                </c:pt>
                <c:pt idx="16">
                  <c:v>27.766366349487903</c:v>
                </c:pt>
                <c:pt idx="17">
                  <c:v>27.741366349487905</c:v>
                </c:pt>
                <c:pt idx="18">
                  <c:v>27.716366349487906</c:v>
                </c:pt>
                <c:pt idx="19">
                  <c:v>27.691366349487907</c:v>
                </c:pt>
                <c:pt idx="20">
                  <c:v>27.666366349487909</c:v>
                </c:pt>
                <c:pt idx="21">
                  <c:v>27.64136634948791</c:v>
                </c:pt>
                <c:pt idx="22">
                  <c:v>27.616366349487912</c:v>
                </c:pt>
                <c:pt idx="23">
                  <c:v>27.591366349487913</c:v>
                </c:pt>
                <c:pt idx="24">
                  <c:v>27.566366349487915</c:v>
                </c:pt>
                <c:pt idx="25">
                  <c:v>27.541366349487916</c:v>
                </c:pt>
                <c:pt idx="26">
                  <c:v>27.516366349487917</c:v>
                </c:pt>
                <c:pt idx="27">
                  <c:v>27.491366349487919</c:v>
                </c:pt>
                <c:pt idx="28">
                  <c:v>27.46636634948792</c:v>
                </c:pt>
                <c:pt idx="29">
                  <c:v>27.441366349487922</c:v>
                </c:pt>
                <c:pt idx="30">
                  <c:v>27.416366349487923</c:v>
                </c:pt>
                <c:pt idx="31">
                  <c:v>27.391366349487924</c:v>
                </c:pt>
                <c:pt idx="32">
                  <c:v>27.366366349487926</c:v>
                </c:pt>
                <c:pt idx="33">
                  <c:v>27.341366349487927</c:v>
                </c:pt>
                <c:pt idx="34">
                  <c:v>27.316366349487929</c:v>
                </c:pt>
                <c:pt idx="35">
                  <c:v>27.29136634948793</c:v>
                </c:pt>
                <c:pt idx="36">
                  <c:v>27.266366349487932</c:v>
                </c:pt>
                <c:pt idx="37">
                  <c:v>27.241366349487933</c:v>
                </c:pt>
                <c:pt idx="38">
                  <c:v>27.216366349487934</c:v>
                </c:pt>
                <c:pt idx="39">
                  <c:v>27.191366349487936</c:v>
                </c:pt>
                <c:pt idx="40">
                  <c:v>27.166366349487937</c:v>
                </c:pt>
                <c:pt idx="41">
                  <c:v>27.807493931717573</c:v>
                </c:pt>
                <c:pt idx="42">
                  <c:v>27.525238767258244</c:v>
                </c:pt>
              </c:numCache>
            </c:numRef>
          </c:xVal>
          <c:yVal>
            <c:numRef>
              <c:f>Navigation!$AU$17:$AU$59</c:f>
              <c:numCache>
                <c:formatCode>0.00\°</c:formatCode>
                <c:ptCount val="43"/>
                <c:pt idx="0">
                  <c:v>13.773540286821571</c:v>
                </c:pt>
                <c:pt idx="1">
                  <c:v>13.729862729479635</c:v>
                </c:pt>
                <c:pt idx="2">
                  <c:v>13.686383927709414</c:v>
                </c:pt>
                <c:pt idx="3">
                  <c:v>13.643101996258849</c:v>
                </c:pt>
                <c:pt idx="4">
                  <c:v>13.600015081244976</c:v>
                </c:pt>
                <c:pt idx="5">
                  <c:v>13.557121359420989</c:v>
                </c:pt>
                <c:pt idx="6">
                  <c:v>13.514419037464961</c:v>
                </c:pt>
                <c:pt idx="7">
                  <c:v>13.471906351289817</c:v>
                </c:pt>
                <c:pt idx="8">
                  <c:v>13.42958156537378</c:v>
                </c:pt>
                <c:pt idx="9">
                  <c:v>13.387442972110421</c:v>
                </c:pt>
                <c:pt idx="10">
                  <c:v>13.345488891177638</c:v>
                </c:pt>
                <c:pt idx="11">
                  <c:v>13.303717668925117</c:v>
                </c:pt>
                <c:pt idx="12">
                  <c:v>13.262127677779347</c:v>
                </c:pt>
                <c:pt idx="13">
                  <c:v>13.220717315665297</c:v>
                </c:pt>
                <c:pt idx="14">
                  <c:v>13.179485005445486</c:v>
                </c:pt>
                <c:pt idx="15">
                  <c:v>13.138429194373884</c:v>
                </c:pt>
                <c:pt idx="16">
                  <c:v>13.097548353565571</c:v>
                </c:pt>
                <c:pt idx="17">
                  <c:v>13.0568409774815</c:v>
                </c:pt>
                <c:pt idx="18">
                  <c:v>13.016305583427084</c:v>
                </c:pt>
                <c:pt idx="19">
                  <c:v>12.975940711064766</c:v>
                </c:pt>
                <c:pt idx="20">
                  <c:v>12.935744921940056</c:v>
                </c:pt>
                <c:pt idx="21">
                  <c:v>12.895716799020249</c:v>
                </c:pt>
                <c:pt idx="22">
                  <c:v>12.855854946245927</c:v>
                </c:pt>
                <c:pt idx="23">
                  <c:v>12.816157988094176</c:v>
                </c:pt>
                <c:pt idx="24">
                  <c:v>12.77662456915391</c:v>
                </c:pt>
                <c:pt idx="25">
                  <c:v>12.737253353711822</c:v>
                </c:pt>
                <c:pt idx="26">
                  <c:v>12.698043025350216</c:v>
                </c:pt>
                <c:pt idx="27">
                  <c:v>12.658992286554223</c:v>
                </c:pt>
                <c:pt idx="28">
                  <c:v>12.620099858330775</c:v>
                </c:pt>
                <c:pt idx="29">
                  <c:v>12.581364479835827</c:v>
                </c:pt>
                <c:pt idx="30">
                  <c:v>12.542784908012209</c:v>
                </c:pt>
                <c:pt idx="31">
                  <c:v>12.504359917236684</c:v>
                </c:pt>
                <c:pt idx="32">
                  <c:v>12.466088298976103</c:v>
                </c:pt>
                <c:pt idx="33">
                  <c:v>12.427968861451347</c:v>
                </c:pt>
                <c:pt idx="34">
                  <c:v>12.390000429311272</c:v>
                </c:pt>
                <c:pt idx="35">
                  <c:v>12.35218184331319</c:v>
                </c:pt>
                <c:pt idx="36">
                  <c:v>12.314511960012908</c:v>
                </c:pt>
                <c:pt idx="37">
                  <c:v>12.276989651461236</c:v>
                </c:pt>
                <c:pt idx="38">
                  <c:v>12.239613804908402</c:v>
                </c:pt>
                <c:pt idx="39">
                  <c:v>12.202383322515971</c:v>
                </c:pt>
                <c:pt idx="40">
                  <c:v>12.165297121075525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C787-4946-8259-07815E9A6519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Navigation!$AP$17:$AP$59</c:f>
              <c:numCache>
                <c:formatCode>0.00\°</c:formatCode>
                <c:ptCount val="43"/>
                <c:pt idx="0">
                  <c:v>28.16636634948788</c:v>
                </c:pt>
                <c:pt idx="1">
                  <c:v>28.141366349487882</c:v>
                </c:pt>
                <c:pt idx="2">
                  <c:v>28.116366349487883</c:v>
                </c:pt>
                <c:pt idx="3">
                  <c:v>28.091366349487885</c:v>
                </c:pt>
                <c:pt idx="4">
                  <c:v>28.066366349487886</c:v>
                </c:pt>
                <c:pt idx="5">
                  <c:v>28.041366349487888</c:v>
                </c:pt>
                <c:pt idx="6">
                  <c:v>28.016366349487889</c:v>
                </c:pt>
                <c:pt idx="7">
                  <c:v>27.99136634948789</c:v>
                </c:pt>
                <c:pt idx="8">
                  <c:v>27.966366349487892</c:v>
                </c:pt>
                <c:pt idx="9">
                  <c:v>27.941366349487893</c:v>
                </c:pt>
                <c:pt idx="10">
                  <c:v>27.916366349487895</c:v>
                </c:pt>
                <c:pt idx="11">
                  <c:v>27.891366349487896</c:v>
                </c:pt>
                <c:pt idx="12">
                  <c:v>27.866366349487897</c:v>
                </c:pt>
                <c:pt idx="13">
                  <c:v>27.841366349487899</c:v>
                </c:pt>
                <c:pt idx="14">
                  <c:v>27.8163663494879</c:v>
                </c:pt>
                <c:pt idx="15">
                  <c:v>27.791366349487902</c:v>
                </c:pt>
                <c:pt idx="16">
                  <c:v>27.766366349487903</c:v>
                </c:pt>
                <c:pt idx="17">
                  <c:v>27.741366349487905</c:v>
                </c:pt>
                <c:pt idx="18">
                  <c:v>27.716366349487906</c:v>
                </c:pt>
                <c:pt idx="19">
                  <c:v>27.691366349487907</c:v>
                </c:pt>
                <c:pt idx="20">
                  <c:v>27.666366349487909</c:v>
                </c:pt>
                <c:pt idx="21">
                  <c:v>27.64136634948791</c:v>
                </c:pt>
                <c:pt idx="22">
                  <c:v>27.616366349487912</c:v>
                </c:pt>
                <c:pt idx="23">
                  <c:v>27.591366349487913</c:v>
                </c:pt>
                <c:pt idx="24">
                  <c:v>27.566366349487915</c:v>
                </c:pt>
                <c:pt idx="25">
                  <c:v>27.541366349487916</c:v>
                </c:pt>
                <c:pt idx="26">
                  <c:v>27.516366349487917</c:v>
                </c:pt>
                <c:pt idx="27">
                  <c:v>27.491366349487919</c:v>
                </c:pt>
                <c:pt idx="28">
                  <c:v>27.46636634948792</c:v>
                </c:pt>
                <c:pt idx="29">
                  <c:v>27.441366349487922</c:v>
                </c:pt>
                <c:pt idx="30">
                  <c:v>27.416366349487923</c:v>
                </c:pt>
                <c:pt idx="31">
                  <c:v>27.391366349487924</c:v>
                </c:pt>
                <c:pt idx="32">
                  <c:v>27.366366349487926</c:v>
                </c:pt>
                <c:pt idx="33">
                  <c:v>27.341366349487927</c:v>
                </c:pt>
                <c:pt idx="34">
                  <c:v>27.316366349487929</c:v>
                </c:pt>
                <c:pt idx="35">
                  <c:v>27.29136634948793</c:v>
                </c:pt>
                <c:pt idx="36">
                  <c:v>27.266366349487932</c:v>
                </c:pt>
                <c:pt idx="37">
                  <c:v>27.241366349487933</c:v>
                </c:pt>
                <c:pt idx="38">
                  <c:v>27.216366349487934</c:v>
                </c:pt>
                <c:pt idx="39">
                  <c:v>27.191366349487936</c:v>
                </c:pt>
                <c:pt idx="40">
                  <c:v>27.166366349487937</c:v>
                </c:pt>
                <c:pt idx="41">
                  <c:v>27.807493931717573</c:v>
                </c:pt>
                <c:pt idx="42">
                  <c:v>27.525238767258244</c:v>
                </c:pt>
              </c:numCache>
            </c:numRef>
          </c:xVal>
          <c:yVal>
            <c:numRef>
              <c:f>Navigation!$AV$17:$AV$59</c:f>
              <c:numCache>
                <c:formatCode>0.00\°</c:formatCode>
                <c:ptCount val="43"/>
                <c:pt idx="0">
                  <c:v>12.4390031186648</c:v>
                </c:pt>
                <c:pt idx="1">
                  <c:v>12.469124750925971</c:v>
                </c:pt>
                <c:pt idx="2">
                  <c:v>12.499156382000876</c:v>
                </c:pt>
                <c:pt idx="3">
                  <c:v>12.529098456332861</c:v>
                </c:pt>
                <c:pt idx="4">
                  <c:v>12.558951414408114</c:v>
                </c:pt>
                <c:pt idx="5">
                  <c:v>12.588715692804897</c:v>
                </c:pt>
                <c:pt idx="6">
                  <c:v>12.61839172424294</c:v>
                </c:pt>
                <c:pt idx="7">
                  <c:v>12.647979937630907</c:v>
                </c:pt>
                <c:pt idx="8">
                  <c:v>12.677480758114257</c:v>
                </c:pt>
                <c:pt idx="9">
                  <c:v>12.706894607121512</c:v>
                </c:pt>
                <c:pt idx="10">
                  <c:v>12.736221902410023</c:v>
                </c:pt>
                <c:pt idx="11">
                  <c:v>12.765463058111322</c:v>
                </c:pt>
                <c:pt idx="12">
                  <c:v>12.794618484775242</c:v>
                </c:pt>
                <c:pt idx="13">
                  <c:v>12.823688589413564</c:v>
                </c:pt>
                <c:pt idx="14">
                  <c:v>12.852673775543337</c:v>
                </c:pt>
                <c:pt idx="15">
                  <c:v>12.881574443228487</c:v>
                </c:pt>
                <c:pt idx="16">
                  <c:v>12.910390989122334</c:v>
                </c:pt>
                <c:pt idx="17">
                  <c:v>12.939123806507837</c:v>
                </c:pt>
                <c:pt idx="18">
                  <c:v>12.967773285338296</c:v>
                </c:pt>
                <c:pt idx="19">
                  <c:v>12.996339812276972</c:v>
                </c:pt>
                <c:pt idx="20">
                  <c:v>13.024823770736361</c:v>
                </c:pt>
                <c:pt idx="21">
                  <c:v>13.053225540916344</c:v>
                </c:pt>
                <c:pt idx="22">
                  <c:v>13.081545499842491</c:v>
                </c:pt>
                <c:pt idx="23">
                  <c:v>13.109784021403243</c:v>
                </c:pt>
                <c:pt idx="24">
                  <c:v>13.137941476386573</c:v>
                </c:pt>
                <c:pt idx="25">
                  <c:v>13.166018232516251</c:v>
                </c:pt>
                <c:pt idx="26">
                  <c:v>13.194014654487717</c:v>
                </c:pt>
                <c:pt idx="27">
                  <c:v>13.22193110400292</c:v>
                </c:pt>
                <c:pt idx="28">
                  <c:v>13.249767939805167</c:v>
                </c:pt>
                <c:pt idx="29">
                  <c:v>13.277525517712775</c:v>
                </c:pt>
                <c:pt idx="30">
                  <c:v>13.305204190653285</c:v>
                </c:pt>
                <c:pt idx="31">
                  <c:v>13.332804308695984</c:v>
                </c:pt>
                <c:pt idx="32">
                  <c:v>13.360326219084698</c:v>
                </c:pt>
                <c:pt idx="33">
                  <c:v>13.387770266269968</c:v>
                </c:pt>
                <c:pt idx="34">
                  <c:v>13.415136791940483</c:v>
                </c:pt>
                <c:pt idx="35">
                  <c:v>13.442426135054518</c:v>
                </c:pt>
                <c:pt idx="36">
                  <c:v>13.469638631870339</c:v>
                </c:pt>
                <c:pt idx="37">
                  <c:v>13.496774615976619</c:v>
                </c:pt>
                <c:pt idx="38">
                  <c:v>13.523834418322338</c:v>
                </c:pt>
                <c:pt idx="39">
                  <c:v>13.550818367246052</c:v>
                </c:pt>
                <c:pt idx="40">
                  <c:v>13.577726788504663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C787-4946-8259-07815E9A6519}"/>
            </c:ext>
          </c:extLst>
        </c:ser>
        <c:ser>
          <c:idx val="2"/>
          <c:order val="2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Navigation!$AP$17:$AP$59</c:f>
              <c:numCache>
                <c:formatCode>0.00\°</c:formatCode>
                <c:ptCount val="43"/>
                <c:pt idx="0">
                  <c:v>28.16636634948788</c:v>
                </c:pt>
                <c:pt idx="1">
                  <c:v>28.141366349487882</c:v>
                </c:pt>
                <c:pt idx="2">
                  <c:v>28.116366349487883</c:v>
                </c:pt>
                <c:pt idx="3">
                  <c:v>28.091366349487885</c:v>
                </c:pt>
                <c:pt idx="4">
                  <c:v>28.066366349487886</c:v>
                </c:pt>
                <c:pt idx="5">
                  <c:v>28.041366349487888</c:v>
                </c:pt>
                <c:pt idx="6">
                  <c:v>28.016366349487889</c:v>
                </c:pt>
                <c:pt idx="7">
                  <c:v>27.99136634948789</c:v>
                </c:pt>
                <c:pt idx="8">
                  <c:v>27.966366349487892</c:v>
                </c:pt>
                <c:pt idx="9">
                  <c:v>27.941366349487893</c:v>
                </c:pt>
                <c:pt idx="10">
                  <c:v>27.916366349487895</c:v>
                </c:pt>
                <c:pt idx="11">
                  <c:v>27.891366349487896</c:v>
                </c:pt>
                <c:pt idx="12">
                  <c:v>27.866366349487897</c:v>
                </c:pt>
                <c:pt idx="13">
                  <c:v>27.841366349487899</c:v>
                </c:pt>
                <c:pt idx="14">
                  <c:v>27.8163663494879</c:v>
                </c:pt>
                <c:pt idx="15">
                  <c:v>27.791366349487902</c:v>
                </c:pt>
                <c:pt idx="16">
                  <c:v>27.766366349487903</c:v>
                </c:pt>
                <c:pt idx="17">
                  <c:v>27.741366349487905</c:v>
                </c:pt>
                <c:pt idx="18">
                  <c:v>27.716366349487906</c:v>
                </c:pt>
                <c:pt idx="19">
                  <c:v>27.691366349487907</c:v>
                </c:pt>
                <c:pt idx="20">
                  <c:v>27.666366349487909</c:v>
                </c:pt>
                <c:pt idx="21">
                  <c:v>27.64136634948791</c:v>
                </c:pt>
                <c:pt idx="22">
                  <c:v>27.616366349487912</c:v>
                </c:pt>
                <c:pt idx="23">
                  <c:v>27.591366349487913</c:v>
                </c:pt>
                <c:pt idx="24">
                  <c:v>27.566366349487915</c:v>
                </c:pt>
                <c:pt idx="25">
                  <c:v>27.541366349487916</c:v>
                </c:pt>
                <c:pt idx="26">
                  <c:v>27.516366349487917</c:v>
                </c:pt>
                <c:pt idx="27">
                  <c:v>27.491366349487919</c:v>
                </c:pt>
                <c:pt idx="28">
                  <c:v>27.46636634948792</c:v>
                </c:pt>
                <c:pt idx="29">
                  <c:v>27.441366349487922</c:v>
                </c:pt>
                <c:pt idx="30">
                  <c:v>27.416366349487923</c:v>
                </c:pt>
                <c:pt idx="31">
                  <c:v>27.391366349487924</c:v>
                </c:pt>
                <c:pt idx="32">
                  <c:v>27.366366349487926</c:v>
                </c:pt>
                <c:pt idx="33">
                  <c:v>27.341366349487927</c:v>
                </c:pt>
                <c:pt idx="34">
                  <c:v>27.316366349487929</c:v>
                </c:pt>
                <c:pt idx="35">
                  <c:v>27.29136634948793</c:v>
                </c:pt>
                <c:pt idx="36">
                  <c:v>27.266366349487932</c:v>
                </c:pt>
                <c:pt idx="37">
                  <c:v>27.241366349487933</c:v>
                </c:pt>
                <c:pt idx="38">
                  <c:v>27.216366349487934</c:v>
                </c:pt>
                <c:pt idx="39">
                  <c:v>27.191366349487936</c:v>
                </c:pt>
                <c:pt idx="40">
                  <c:v>27.166366349487937</c:v>
                </c:pt>
                <c:pt idx="41">
                  <c:v>27.807493931717573</c:v>
                </c:pt>
                <c:pt idx="42">
                  <c:v>27.525238767258244</c:v>
                </c:pt>
              </c:numCache>
            </c:numRef>
          </c:xVal>
          <c:yVal>
            <c:numRef>
              <c:f>Navigation!$AW$17:$AW$59</c:f>
              <c:numCache>
                <c:formatCode>0.00\°</c:formatCode>
                <c:ptCount val="43"/>
                <c:pt idx="0">
                  <c:v>14.292755367514701</c:v>
                </c:pt>
                <c:pt idx="1">
                  <c:v>14.247310969815942</c:v>
                </c:pt>
                <c:pt idx="2">
                  <c:v>14.202084578792437</c:v>
                </c:pt>
                <c:pt idx="3">
                  <c:v>14.157073969622388</c:v>
                </c:pt>
                <c:pt idx="4">
                  <c:v>14.112276957188499</c:v>
                </c:pt>
                <c:pt idx="5">
                  <c:v>14.067691395083557</c:v>
                </c:pt>
                <c:pt idx="6">
                  <c:v>14.023315174648076</c:v>
                </c:pt>
                <c:pt idx="7">
                  <c:v>13.979146224038516</c:v>
                </c:pt>
                <c:pt idx="8">
                  <c:v>13.935182507324839</c:v>
                </c:pt>
                <c:pt idx="9">
                  <c:v>13.891422023616713</c:v>
                </c:pt>
                <c:pt idx="10">
                  <c:v>13.847862806216597</c:v>
                </c:pt>
                <c:pt idx="11">
                  <c:v>13.80450292179961</c:v>
                </c:pt>
                <c:pt idx="12">
                  <c:v>13.761340469618062</c:v>
                </c:pt>
                <c:pt idx="13">
                  <c:v>13.718373580730599</c:v>
                </c:pt>
                <c:pt idx="14">
                  <c:v>13.675600417254714</c:v>
                </c:pt>
                <c:pt idx="15">
                  <c:v>13.633019171641763</c:v>
                </c:pt>
                <c:pt idx="16">
                  <c:v>13.590628065973476</c:v>
                </c:pt>
                <c:pt idx="17">
                  <c:v>13.548425351280002</c:v>
                </c:pt>
                <c:pt idx="18">
                  <c:v>13.506409306877345</c:v>
                </c:pt>
                <c:pt idx="19">
                  <c:v>13.464578239724858</c:v>
                </c:pt>
                <c:pt idx="20">
                  <c:v>13.422930483800883</c:v>
                </c:pt>
                <c:pt idx="21">
                  <c:v>13.38146439949719</c:v>
                </c:pt>
                <c:pt idx="22">
                  <c:v>13.340178373029914</c:v>
                </c:pt>
                <c:pt idx="23">
                  <c:v>13.299070815868674</c:v>
                </c:pt>
                <c:pt idx="24">
                  <c:v>13.258140164180361</c:v>
                </c:pt>
                <c:pt idx="25">
                  <c:v>13.217384878289749</c:v>
                </c:pt>
                <c:pt idx="26">
                  <c:v>13.176803442154835</c:v>
                </c:pt>
                <c:pt idx="27">
                  <c:v>13.136394362856834</c:v>
                </c:pt>
                <c:pt idx="28">
                  <c:v>13.096156170104393</c:v>
                </c:pt>
                <c:pt idx="29">
                  <c:v>13.056087415750994</c:v>
                </c:pt>
                <c:pt idx="30">
                  <c:v>13.016186673326501</c:v>
                </c:pt>
                <c:pt idx="31">
                  <c:v>12.976452537580656</c:v>
                </c:pt>
                <c:pt idx="32">
                  <c:v>12.936883624038956</c:v>
                </c:pt>
                <c:pt idx="33">
                  <c:v>12.897478568570989</c:v>
                </c:pt>
                <c:pt idx="34">
                  <c:v>12.858236026969735</c:v>
                </c:pt>
                <c:pt idx="35">
                  <c:v>12.81915467454229</c:v>
                </c:pt>
                <c:pt idx="36">
                  <c:v>12.780233205711568</c:v>
                </c:pt>
                <c:pt idx="37">
                  <c:v>12.741470333628286</c:v>
                </c:pt>
                <c:pt idx="38">
                  <c:v>12.702864789792216</c:v>
                </c:pt>
                <c:pt idx="39">
                  <c:v>12.664415323685603</c:v>
                </c:pt>
                <c:pt idx="40">
                  <c:v>12.626120702413175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9-C787-4946-8259-07815E9A6519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2"/>
            <c:marker>
              <c:symbol val="none"/>
            </c:marker>
            <c:bubble3D val="0"/>
            <c:spPr>
              <a:ln w="19050" cap="rnd">
                <a:solidFill>
                  <a:srgbClr val="00B0F0"/>
                </a:solidFill>
                <a:round/>
                <a:headEnd type="none" w="lg" len="lg"/>
                <a:tailEnd type="arrow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3B-C787-4946-8259-07815E9A6519}"/>
              </c:ext>
            </c:extLst>
          </c:dPt>
          <c:xVal>
            <c:numRef>
              <c:f>Navigation!$AP$17:$AP$59</c:f>
              <c:numCache>
                <c:formatCode>0.00\°</c:formatCode>
                <c:ptCount val="43"/>
                <c:pt idx="0">
                  <c:v>28.16636634948788</c:v>
                </c:pt>
                <c:pt idx="1">
                  <c:v>28.141366349487882</c:v>
                </c:pt>
                <c:pt idx="2">
                  <c:v>28.116366349487883</c:v>
                </c:pt>
                <c:pt idx="3">
                  <c:v>28.091366349487885</c:v>
                </c:pt>
                <c:pt idx="4">
                  <c:v>28.066366349487886</c:v>
                </c:pt>
                <c:pt idx="5">
                  <c:v>28.041366349487888</c:v>
                </c:pt>
                <c:pt idx="6">
                  <c:v>28.016366349487889</c:v>
                </c:pt>
                <c:pt idx="7">
                  <c:v>27.99136634948789</c:v>
                </c:pt>
                <c:pt idx="8">
                  <c:v>27.966366349487892</c:v>
                </c:pt>
                <c:pt idx="9">
                  <c:v>27.941366349487893</c:v>
                </c:pt>
                <c:pt idx="10">
                  <c:v>27.916366349487895</c:v>
                </c:pt>
                <c:pt idx="11">
                  <c:v>27.891366349487896</c:v>
                </c:pt>
                <c:pt idx="12">
                  <c:v>27.866366349487897</c:v>
                </c:pt>
                <c:pt idx="13">
                  <c:v>27.841366349487899</c:v>
                </c:pt>
                <c:pt idx="14">
                  <c:v>27.8163663494879</c:v>
                </c:pt>
                <c:pt idx="15">
                  <c:v>27.791366349487902</c:v>
                </c:pt>
                <c:pt idx="16">
                  <c:v>27.766366349487903</c:v>
                </c:pt>
                <c:pt idx="17">
                  <c:v>27.741366349487905</c:v>
                </c:pt>
                <c:pt idx="18">
                  <c:v>27.716366349487906</c:v>
                </c:pt>
                <c:pt idx="19">
                  <c:v>27.691366349487907</c:v>
                </c:pt>
                <c:pt idx="20">
                  <c:v>27.666366349487909</c:v>
                </c:pt>
                <c:pt idx="21">
                  <c:v>27.64136634948791</c:v>
                </c:pt>
                <c:pt idx="22">
                  <c:v>27.616366349487912</c:v>
                </c:pt>
                <c:pt idx="23">
                  <c:v>27.591366349487913</c:v>
                </c:pt>
                <c:pt idx="24">
                  <c:v>27.566366349487915</c:v>
                </c:pt>
                <c:pt idx="25">
                  <c:v>27.541366349487916</c:v>
                </c:pt>
                <c:pt idx="26">
                  <c:v>27.516366349487917</c:v>
                </c:pt>
                <c:pt idx="27">
                  <c:v>27.491366349487919</c:v>
                </c:pt>
                <c:pt idx="28">
                  <c:v>27.46636634948792</c:v>
                </c:pt>
                <c:pt idx="29">
                  <c:v>27.441366349487922</c:v>
                </c:pt>
                <c:pt idx="30">
                  <c:v>27.416366349487923</c:v>
                </c:pt>
                <c:pt idx="31">
                  <c:v>27.391366349487924</c:v>
                </c:pt>
                <c:pt idx="32">
                  <c:v>27.366366349487926</c:v>
                </c:pt>
                <c:pt idx="33">
                  <c:v>27.341366349487927</c:v>
                </c:pt>
                <c:pt idx="34">
                  <c:v>27.316366349487929</c:v>
                </c:pt>
                <c:pt idx="35">
                  <c:v>27.29136634948793</c:v>
                </c:pt>
                <c:pt idx="36">
                  <c:v>27.266366349487932</c:v>
                </c:pt>
                <c:pt idx="37">
                  <c:v>27.241366349487933</c:v>
                </c:pt>
                <c:pt idx="38">
                  <c:v>27.216366349487934</c:v>
                </c:pt>
                <c:pt idx="39">
                  <c:v>27.191366349487936</c:v>
                </c:pt>
                <c:pt idx="40">
                  <c:v>27.166366349487937</c:v>
                </c:pt>
                <c:pt idx="41">
                  <c:v>27.807493931717573</c:v>
                </c:pt>
                <c:pt idx="42">
                  <c:v>27.525238767258244</c:v>
                </c:pt>
              </c:numCache>
            </c:numRef>
          </c:xVal>
          <c:yVal>
            <c:numRef>
              <c:f>Navigation!$AX$17:$AX$59</c:f>
              <c:numCache>
                <c:formatCode>General</c:formatCode>
                <c:ptCount val="43"/>
                <c:pt idx="41" formatCode="0.00">
                  <c:v>13.163339752362566</c:v>
                </c:pt>
                <c:pt idx="42" formatCode="0.00">
                  <c:v>13.191185853541015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A-C787-4946-8259-07815E9A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045856"/>
        <c:axId val="1385133584"/>
      </c:scatterChart>
      <c:valAx>
        <c:axId val="13850458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\°_ ;[Red]\-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133584"/>
        <c:crosses val="autoZero"/>
        <c:crossBetween val="midCat"/>
        <c:majorUnit val="1"/>
        <c:minorUnit val="0.16666600000000001"/>
      </c:valAx>
      <c:valAx>
        <c:axId val="138513358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\°_ ;[Red]\-0.0\°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de-DE"/>
          </a:p>
        </c:txPr>
        <c:crossAx val="1385045856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C00000"/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142430</xdr:colOff>
      <xdr:row>0</xdr:row>
      <xdr:rowOff>83084</xdr:rowOff>
    </xdr:from>
    <xdr:to>
      <xdr:col>6</xdr:col>
      <xdr:colOff>391683</xdr:colOff>
      <xdr:row>4</xdr:row>
      <xdr:rowOff>107990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DD4EC0E-C1F0-694E-9C3B-0BA066200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1402" y="83084"/>
          <a:ext cx="985141" cy="1121023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29</xdr:row>
      <xdr:rowOff>114300</xdr:rowOff>
    </xdr:from>
    <xdr:to>
      <xdr:col>8</xdr:col>
      <xdr:colOff>205700</xdr:colOff>
      <xdr:row>54</xdr:row>
      <xdr:rowOff>91400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291170D-37A2-D344-B71E-0A0452424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91</xdr:row>
      <xdr:rowOff>215900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A13BAF17-9648-B741-84AF-B64CDCD536A3}"/>
            </a:ext>
          </a:extLst>
        </xdr:cNvPr>
        <xdr:cNvCxnSpPr/>
      </xdr:nvCxnSpPr>
      <xdr:spPr>
        <a:xfrm>
          <a:off x="0" y="14693900"/>
          <a:ext cx="0" cy="74549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92</xdr:row>
      <xdr:rowOff>215900</xdr:rowOff>
    </xdr:to>
    <xdr:cxnSp macro="">
      <xdr:nvCxnSpPr>
        <xdr:cNvPr id="11" name="Gerade Verbindung 10">
          <a:extLst>
            <a:ext uri="{FF2B5EF4-FFF2-40B4-BE49-F238E27FC236}">
              <a16:creationId xmlns:a16="http://schemas.microsoft.com/office/drawing/2014/main" id="{ADF29EB2-98C6-484D-B464-EBEEDD3DD83A}"/>
            </a:ext>
          </a:extLst>
        </xdr:cNvPr>
        <xdr:cNvCxnSpPr/>
      </xdr:nvCxnSpPr>
      <xdr:spPr>
        <a:xfrm>
          <a:off x="355600" y="14693900"/>
          <a:ext cx="0" cy="769620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70028</xdr:colOff>
      <xdr:row>0</xdr:row>
      <xdr:rowOff>76200</xdr:rowOff>
    </xdr:from>
    <xdr:to>
      <xdr:col>8</xdr:col>
      <xdr:colOff>247472</xdr:colOff>
      <xdr:row>26</xdr:row>
      <xdr:rowOff>70384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FDB7CCC1-5BB8-4544-A167-1957A26788E1}"/>
            </a:ext>
          </a:extLst>
        </xdr:cNvPr>
        <xdr:cNvSpPr/>
      </xdr:nvSpPr>
      <xdr:spPr>
        <a:xfrm>
          <a:off x="70028" y="76200"/>
          <a:ext cx="5447944" cy="6674384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0.11815</cdr:x>
      <cdr:y>0.43658</cdr:y>
    </cdr:from>
    <cdr:to>
      <cdr:x>0.21691</cdr:x>
      <cdr:y>0.49629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FAF1CB92-EADE-AA44-AC95-56E197A65996}"/>
            </a:ext>
          </a:extLst>
        </cdr:cNvPr>
        <cdr:cNvSpPr txBox="1"/>
      </cdr:nvSpPr>
      <cdr:spPr>
        <a:xfrm xmlns:a="http://schemas.openxmlformats.org/drawingml/2006/main">
          <a:off x="637924" y="2306298"/>
          <a:ext cx="533245" cy="31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S</a:t>
          </a:r>
        </a:p>
      </cdr:txBody>
    </cdr:sp>
  </cdr:relSizeAnchor>
  <cdr:relSizeAnchor xmlns:cdr="http://schemas.openxmlformats.org/drawingml/2006/chartDrawing">
    <cdr:from>
      <cdr:x>0.86652</cdr:x>
      <cdr:y>0.443</cdr:y>
    </cdr:from>
    <cdr:to>
      <cdr:x>0.96528</cdr:x>
      <cdr:y>0.50272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4678678" y="2340179"/>
          <a:ext cx="533246" cy="315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N</a:t>
          </a:r>
        </a:p>
      </cdr:txBody>
    </cdr:sp>
  </cdr:relSizeAnchor>
  <cdr:relSizeAnchor xmlns:cdr="http://schemas.openxmlformats.org/drawingml/2006/chartDrawing">
    <cdr:from>
      <cdr:x>0.53247</cdr:x>
      <cdr:y>0.86981</cdr:y>
    </cdr:from>
    <cdr:to>
      <cdr:x>0.63123</cdr:x>
      <cdr:y>0.92953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3067048" y="4998577"/>
          <a:ext cx="568857" cy="343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E</a:t>
          </a:r>
        </a:p>
      </cdr:txBody>
    </cdr:sp>
  </cdr:relSizeAnchor>
  <cdr:relSizeAnchor xmlns:cdr="http://schemas.openxmlformats.org/drawingml/2006/chartDrawing">
    <cdr:from>
      <cdr:x>0.53018</cdr:x>
      <cdr:y>0.07837</cdr:y>
    </cdr:from>
    <cdr:to>
      <cdr:x>0.62894</cdr:x>
      <cdr:y>0.13809</cdr:y>
    </cdr:to>
    <cdr:sp macro="" textlink="">
      <cdr:nvSpPr>
        <cdr:cNvPr id="5" name="Textfeld 1">
          <a:extLst xmlns:a="http://schemas.openxmlformats.org/drawingml/2006/main">
            <a:ext uri="{FF2B5EF4-FFF2-40B4-BE49-F238E27FC236}">
              <a16:creationId xmlns:a16="http://schemas.microsoft.com/office/drawing/2014/main" id="{738E45C9-B192-1F4D-90FE-C44F6EAC77EF}"/>
            </a:ext>
          </a:extLst>
        </cdr:cNvPr>
        <cdr:cNvSpPr txBox="1"/>
      </cdr:nvSpPr>
      <cdr:spPr>
        <a:xfrm xmlns:a="http://schemas.openxmlformats.org/drawingml/2006/main">
          <a:off x="3053819" y="450366"/>
          <a:ext cx="568858" cy="343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600">
              <a:latin typeface="Lucida Calligraphy" panose="03010101010101010101" pitchFamily="66" charset="77"/>
            </a:rPr>
            <a:t>W</a:t>
          </a:r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Y444"/>
  <sheetViews>
    <sheetView showGridLines="0" showRowColHeaders="0" tabSelected="1" zoomScaleNormal="100" workbookViewId="0">
      <selection activeCell="C6" sqref="C6"/>
    </sheetView>
  </sheetViews>
  <sheetFormatPr baseColWidth="10" defaultRowHeight="16"/>
  <cols>
    <col min="1" max="1" width="3.6640625" style="9" customWidth="1"/>
    <col min="2" max="2" width="25.1640625" style="9" customWidth="1"/>
    <col min="3" max="3" width="7.33203125" style="9" customWidth="1"/>
    <col min="4" max="4" width="7.83203125" style="9" customWidth="1"/>
    <col min="5" max="6" width="4.83203125" style="9" customWidth="1"/>
    <col min="7" max="7" width="7.83203125" style="9" customWidth="1"/>
    <col min="8" max="8" width="7.6640625" style="9" customWidth="1"/>
    <col min="9" max="9" width="3.83203125" style="1" customWidth="1"/>
    <col min="10" max="10" width="4.83203125" style="1" hidden="1" customWidth="1"/>
    <col min="11" max="19" width="11.83203125" style="1" hidden="1" customWidth="1"/>
    <col min="20" max="20" width="5.5" style="1" hidden="1" customWidth="1"/>
    <col min="21" max="23" width="11.83203125" style="1" hidden="1" customWidth="1"/>
    <col min="24" max="24" width="10.1640625" style="1" hidden="1" customWidth="1"/>
    <col min="25" max="25" width="4.83203125" style="1" hidden="1" customWidth="1"/>
    <col min="26" max="28" width="9.83203125" style="28" hidden="1" customWidth="1"/>
    <col min="29" max="29" width="9.83203125" style="76" hidden="1" customWidth="1"/>
    <col min="30" max="30" width="4.83203125" style="76" hidden="1" customWidth="1"/>
    <col min="31" max="34" width="9.83203125" style="76" hidden="1" customWidth="1"/>
    <col min="35" max="35" width="4.83203125" style="76" hidden="1" customWidth="1"/>
    <col min="36" max="39" width="9.83203125" style="76" hidden="1" customWidth="1"/>
    <col min="40" max="40" width="4.83203125" style="76" hidden="1" customWidth="1"/>
    <col min="41" max="41" width="11.5" style="9" hidden="1" customWidth="1"/>
    <col min="42" max="51" width="10.83203125" style="9" hidden="1" customWidth="1"/>
    <col min="52" max="16384" width="10.83203125" style="9"/>
  </cols>
  <sheetData>
    <row r="1" spans="2:50">
      <c r="H1" s="3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9"/>
    </row>
    <row r="2" spans="2:50" ht="29">
      <c r="B2" s="43" t="s">
        <v>107</v>
      </c>
      <c r="C2" s="11"/>
      <c r="D2" s="11"/>
      <c r="H2" s="107">
        <f>YEAR(G12)</f>
        <v>2021</v>
      </c>
      <c r="K2" s="491" t="s">
        <v>150</v>
      </c>
      <c r="L2" s="43"/>
      <c r="M2" s="492" t="s">
        <v>151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2:50" ht="22" customHeight="1">
      <c r="S3" s="62"/>
      <c r="T3" s="62"/>
      <c r="U3" s="62"/>
      <c r="V3" s="62"/>
      <c r="W3" s="62"/>
      <c r="X3" s="62"/>
      <c r="Y3" s="62"/>
      <c r="Z3" s="76"/>
      <c r="AA3" s="76"/>
      <c r="AB3" s="76"/>
      <c r="AH3" s="79"/>
      <c r="AI3" s="79"/>
      <c r="AJ3" s="79"/>
      <c r="AK3" s="79"/>
      <c r="AL3" s="79"/>
      <c r="AM3" s="79"/>
      <c r="AN3" s="79"/>
    </row>
    <row r="4" spans="2:50" ht="20" customHeight="1">
      <c r="D4" s="42"/>
      <c r="S4" s="61"/>
      <c r="T4" s="39"/>
      <c r="Y4" s="19"/>
      <c r="Z4" s="80"/>
      <c r="AA4" s="80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50" s="22" customFormat="1" ht="20" customHeight="1" thickBot="1">
      <c r="B5" s="296" t="s">
        <v>29</v>
      </c>
      <c r="C5" s="297"/>
      <c r="D5" s="298"/>
      <c r="E5" s="298"/>
      <c r="F5" s="36"/>
      <c r="G5" s="36"/>
      <c r="H5" s="36"/>
      <c r="I5" s="27"/>
      <c r="J5" s="27"/>
      <c r="K5" s="125" t="s">
        <v>64</v>
      </c>
      <c r="L5" s="27"/>
      <c r="M5" s="27"/>
      <c r="N5" s="27"/>
      <c r="O5" s="27"/>
      <c r="P5" s="27"/>
      <c r="Q5" s="27"/>
      <c r="R5" s="299" t="s">
        <v>32</v>
      </c>
      <c r="S5" s="300"/>
      <c r="T5" s="27"/>
      <c r="U5" s="68" t="s">
        <v>6</v>
      </c>
      <c r="V5" s="76"/>
      <c r="W5" s="76"/>
      <c r="X5" s="76"/>
      <c r="Y5" s="19"/>
      <c r="Z5" s="86" t="s">
        <v>33</v>
      </c>
      <c r="AA5" s="301"/>
      <c r="AB5" s="75"/>
      <c r="AC5" s="82"/>
      <c r="AD5" s="82"/>
      <c r="AE5" s="86" t="s">
        <v>63</v>
      </c>
      <c r="AF5" s="82"/>
      <c r="AG5" s="82"/>
      <c r="AH5" s="82"/>
      <c r="AI5" s="82"/>
      <c r="AJ5" s="86" t="s">
        <v>74</v>
      </c>
      <c r="AK5" s="72"/>
      <c r="AL5" s="70"/>
      <c r="AM5" s="302"/>
      <c r="AN5" s="82"/>
      <c r="AP5" s="125" t="s">
        <v>86</v>
      </c>
    </row>
    <row r="6" spans="2:50" ht="20" customHeight="1" thickBot="1">
      <c r="B6" s="58" t="s">
        <v>30</v>
      </c>
      <c r="C6" s="267">
        <v>1.5</v>
      </c>
      <c r="D6" s="505" t="s">
        <v>105</v>
      </c>
      <c r="E6" s="506"/>
      <c r="F6" s="506"/>
      <c r="G6" s="507"/>
      <c r="H6" s="273" t="s">
        <v>57</v>
      </c>
      <c r="K6" s="128"/>
      <c r="L6" s="131"/>
      <c r="M6" s="519" t="s">
        <v>70</v>
      </c>
      <c r="N6" s="520"/>
      <c r="O6" s="519" t="s">
        <v>3</v>
      </c>
      <c r="P6" s="520"/>
      <c r="R6" s="323" t="s">
        <v>13</v>
      </c>
      <c r="S6" s="324" t="s">
        <v>28</v>
      </c>
      <c r="U6" s="433" t="s">
        <v>115</v>
      </c>
      <c r="V6" s="439">
        <f>DGET(AF6:AH30,1,AJ33:AJ34)</f>
        <v>27.70000000000001</v>
      </c>
      <c r="W6" s="435"/>
      <c r="X6" s="436"/>
      <c r="Z6" s="93" t="s">
        <v>34</v>
      </c>
      <c r="AA6" s="94" t="s">
        <v>12</v>
      </c>
      <c r="AB6" s="95" t="s">
        <v>35</v>
      </c>
      <c r="AC6" s="96" t="s">
        <v>36</v>
      </c>
      <c r="AD6" s="75"/>
      <c r="AE6" s="93" t="s">
        <v>34</v>
      </c>
      <c r="AF6" s="94" t="s">
        <v>12</v>
      </c>
      <c r="AG6" s="95" t="s">
        <v>35</v>
      </c>
      <c r="AH6" s="96" t="s">
        <v>36</v>
      </c>
      <c r="AI6" s="75"/>
      <c r="AJ6" s="93" t="s">
        <v>34</v>
      </c>
      <c r="AK6" s="94" t="s">
        <v>12</v>
      </c>
      <c r="AL6" s="95" t="s">
        <v>35</v>
      </c>
      <c r="AM6" s="96" t="s">
        <v>36</v>
      </c>
    </row>
    <row r="7" spans="2:50" ht="20" customHeight="1" thickBot="1">
      <c r="B7" s="59" t="s">
        <v>31</v>
      </c>
      <c r="C7" s="268">
        <v>1.5</v>
      </c>
      <c r="D7" s="516" t="s">
        <v>106</v>
      </c>
      <c r="E7" s="517"/>
      <c r="F7" s="517"/>
      <c r="G7" s="518"/>
      <c r="H7" s="274" t="s">
        <v>57</v>
      </c>
      <c r="K7" s="320"/>
      <c r="L7" s="307" t="s">
        <v>65</v>
      </c>
      <c r="M7" s="309">
        <f>G14+H14/60</f>
        <v>63.47</v>
      </c>
      <c r="N7" s="310"/>
      <c r="O7" s="309">
        <f>G22+H22/60</f>
        <v>60.376666666666665</v>
      </c>
      <c r="P7" s="310"/>
      <c r="R7" s="325">
        <v>1</v>
      </c>
      <c r="S7" s="326">
        <v>0.3</v>
      </c>
      <c r="U7" s="440" t="s">
        <v>121</v>
      </c>
      <c r="V7" s="434">
        <f>RADIANS(V6)</f>
        <v>0.48345620280242946</v>
      </c>
      <c r="W7" s="437"/>
      <c r="X7" s="438"/>
      <c r="Z7" s="89"/>
      <c r="AA7" s="90"/>
      <c r="AB7" s="422"/>
      <c r="AC7" s="92"/>
      <c r="AD7" s="120"/>
      <c r="AE7" s="89"/>
      <c r="AF7" s="90"/>
      <c r="AG7" s="91"/>
      <c r="AH7" s="122"/>
      <c r="AI7" s="120"/>
      <c r="AJ7" s="89"/>
      <c r="AK7" s="90"/>
      <c r="AL7" s="91"/>
      <c r="AM7" s="92"/>
      <c r="AP7" s="523" t="s">
        <v>87</v>
      </c>
      <c r="AQ7" s="524"/>
      <c r="AR7" s="524"/>
      <c r="AS7" s="164">
        <f>J17</f>
        <v>0</v>
      </c>
      <c r="AT7" s="165"/>
      <c r="AU7" s="166"/>
    </row>
    <row r="8" spans="2:50" ht="20" customHeight="1" thickBot="1">
      <c r="B8" s="269" t="s">
        <v>54</v>
      </c>
      <c r="C8" s="270" t="s">
        <v>104</v>
      </c>
      <c r="D8" s="271"/>
      <c r="E8" s="271"/>
      <c r="F8" s="272" t="s">
        <v>5</v>
      </c>
      <c r="G8" s="275">
        <v>2.5</v>
      </c>
      <c r="H8" s="276" t="s">
        <v>23</v>
      </c>
      <c r="K8" s="321"/>
      <c r="L8" s="308" t="s">
        <v>66</v>
      </c>
      <c r="M8" s="311">
        <f>16-(55*TAN(RADIANS(90-M7))/60-55/1000*(TAN(RADIANS(90-M7)))^3/60+1.777*SQRT(G8))</f>
        <v>12.732797783134325</v>
      </c>
      <c r="N8" s="312"/>
      <c r="O8" s="311">
        <f>16-(55*TAN(RADIANS(90-O7))/60-55/1000*(TAN(RADIANS(90-O7)))^3/60+1.777*SQRT(G8))</f>
        <v>12.669251792344504</v>
      </c>
      <c r="P8" s="312"/>
      <c r="R8" s="327">
        <f>1+R7</f>
        <v>2</v>
      </c>
      <c r="S8" s="328">
        <v>0.2</v>
      </c>
      <c r="U8" s="348" t="s">
        <v>75</v>
      </c>
      <c r="V8" s="349">
        <f>DEGREES(W8)</f>
        <v>145.00890437572968</v>
      </c>
      <c r="W8" s="350">
        <f>IF(dira = "E",ACOS((SIN(deka)-SIN(hma)*SIN(V7))/(COS(hma)*COS(V7))),(2*PI()-ACOS((SIN(deka)-SIN(hma)*SIN(V7))/(COS(hma)*COS(V7)))))</f>
        <v>2.5308828260660956</v>
      </c>
      <c r="X8" s="351" t="s">
        <v>76</v>
      </c>
      <c r="Z8" s="421">
        <f t="shared" ref="Z8:Z39" si="0">RADIANS(AA8)</f>
        <v>8.7266462599716474E-2</v>
      </c>
      <c r="AA8" s="417">
        <f>IF( L43&gt;0,INT(L43),ROUNDUP(L43,0))</f>
        <v>5</v>
      </c>
      <c r="AB8" s="423">
        <f>IFERROR(ABS((DEGREES(ACOS((SIN(hma)-SIN(deka)*SIN(Z8))/(COS(deka)*COS(Z8)))+IF(EW=TRUE,1,-1)*ACOS((SIN(hmb)-SIN(dekb)*SIN(Z8))/(COS(dekb)*COS(Z8)))))/15)-dt,-$AB$8)</f>
        <v>1.3898668028187315</v>
      </c>
      <c r="AC8" s="110">
        <f>IF(AB8*AB9&lt;0,TRUE,0)</f>
        <v>0</v>
      </c>
      <c r="AD8" s="120"/>
      <c r="AE8" s="421">
        <f t="shared" ref="AE8:AE30" si="1">RADIANS(AF8)</f>
        <v>0.46949356878647464</v>
      </c>
      <c r="AF8" s="419">
        <f>ROUNDDOWN(DGET(AA6:AC59,1,AJ33:AJ34),0)+IF($C$8="N",-0.1,0.1)</f>
        <v>26.9</v>
      </c>
      <c r="AG8" s="424">
        <f t="shared" ref="AG8:AG30" si="2">IFERROR(ABS((DEGREES(ACOS((SIN(hma)-SIN(deka)*SIN(AE8))/(COS(deka)*COS(AE8)))+IF(EW=TRUE,1,-1)*ACOS((SIN(hmb)-SIN(dekb)*SIN(AE8))/(COS(dekb)*COS(AE8)))))/15)-dt,-$AG$8)</f>
        <v>0.1392051115874624</v>
      </c>
      <c r="AH8" s="110">
        <f t="shared" ref="AH8:AH58" si="3">IF(AG8*AG9&lt;0,TRUE,0)</f>
        <v>0</v>
      </c>
      <c r="AI8" s="120"/>
      <c r="AJ8" s="421">
        <f>RADIANS(AK8)</f>
        <v>0.47987827783584092</v>
      </c>
      <c r="AK8" s="419">
        <f>ROUNDDOWN(DGET(AF33:AH59,1,AJ33:AJ34),2)+IF($C$8="N",-0.005,0.005)</f>
        <v>27.495000000000001</v>
      </c>
      <c r="AL8" s="425">
        <f>ABS((DEGREES(ACOS((SIN(hmav)-SIN(deka)*SIN(AJ8))/(COS(deka)*COS(AJ8)))+IF(EW=TRUE,1,-1)*ACOS((SIN(hmb)-SIN(dekb)*SIN(AJ8))/(COS(dekb)*COS(AJ8)))))/15)-dt</f>
        <v>5.5147378305879791E-3</v>
      </c>
      <c r="AM8" s="110">
        <f>IF(AL8*AL9&lt;0,TRUE,0)</f>
        <v>0</v>
      </c>
      <c r="AN8" s="87"/>
      <c r="AP8" s="525" t="s">
        <v>88</v>
      </c>
      <c r="AQ8" s="526"/>
      <c r="AR8" s="526"/>
      <c r="AS8" s="167">
        <f>E17</f>
        <v>0</v>
      </c>
      <c r="AT8" s="168" t="s">
        <v>89</v>
      </c>
      <c r="AU8" s="169" t="s">
        <v>19</v>
      </c>
    </row>
    <row r="9" spans="2:50" ht="20" customHeight="1">
      <c r="C9" s="22"/>
      <c r="D9" s="22"/>
      <c r="E9" s="22"/>
      <c r="F9" s="22"/>
      <c r="G9" s="22"/>
      <c r="H9" s="304"/>
      <c r="K9" s="321"/>
      <c r="L9" s="308" t="s">
        <v>67</v>
      </c>
      <c r="M9" s="313">
        <f>IF(H6="U",DGET(R6:S18,2,K15:K16),IF(H6="O",-(32+DGET(R6:S18,2,K15:K16)),#N/A))</f>
        <v>0</v>
      </c>
      <c r="N9" s="312"/>
      <c r="O9" s="313">
        <f>IF(H7="U",DGET(R6:S18,2,K15:K16),IF(H7="O",-(32+DGET(R6:S18,2,K15:K16)),#N/A))</f>
        <v>0</v>
      </c>
      <c r="P9" s="312"/>
      <c r="R9" s="327">
        <f t="shared" ref="R9:R18" si="4">1+R8</f>
        <v>3</v>
      </c>
      <c r="S9" s="328">
        <v>0.1</v>
      </c>
      <c r="U9" s="138" t="s">
        <v>77</v>
      </c>
      <c r="V9" s="139">
        <f>DEGREES(W9)</f>
        <v>0.24539587795450393</v>
      </c>
      <c r="W9" s="140">
        <f>RADIANS(_d/60)*COS(aza-RADIANS(_c))</f>
        <v>4.2829660411282614E-3</v>
      </c>
      <c r="X9" s="137" t="s">
        <v>114</v>
      </c>
      <c r="Z9" s="421">
        <f t="shared" si="0"/>
        <v>0.12217304763960307</v>
      </c>
      <c r="AA9" s="418">
        <f t="shared" ref="AA9:AA40" si="5">IF(AA8&gt;77,78,IF(AA8&lt;-77,-78,IF($C$8="N",AA8+2,IF($C$8="S",AA8-2,#N/A))))</f>
        <v>7</v>
      </c>
      <c r="AB9" s="423">
        <f>IFERROR(ABS((DEGREES(ACOS((SIN(hma)-SIN(deka)*SIN(Z9))/(COS(deka)*COS(Z9)))+IF(EW=TRUE,1,-1)*ACOS((SIN(hmb)-SIN(dekb)*SIN(Z9))/(COS(dekb)*COS(Z9)))))/15)-dt,-$AB$8)</f>
        <v>1.3917670641829454</v>
      </c>
      <c r="AC9" s="110">
        <f t="shared" ref="AC9:AC39" si="6">IF(AB9*AB10&lt;0,TRUE,0)</f>
        <v>0</v>
      </c>
      <c r="AD9" s="120"/>
      <c r="AE9" s="421">
        <f t="shared" si="1"/>
        <v>0.47123889803846897</v>
      </c>
      <c r="AF9" s="420">
        <f t="shared" ref="AF9:AF30" si="7">IF(AF8&gt;77,78,IF(AF8&lt;-77,-78,IF($C$8="N",AF8+0.1,IF($C$8="S",AF8-0.1,#N/A))))</f>
        <v>27</v>
      </c>
      <c r="AG9" s="424">
        <f>IFERROR(ABS((DEGREES(ACOS((SIN(hma)-SIN(deka)*SIN(AE9))/(COS(deka)*COS(AE9)))+IF(EW=TRUE,1,-1)*ACOS((SIN(hmb)-SIN(dekb)*SIN(AE9))/(COS(dekb)*COS(AE9)))))/15)-dt,-$AG$8)</f>
        <v>0.12265956456244664</v>
      </c>
      <c r="AH9" s="110">
        <f t="shared" si="3"/>
        <v>0</v>
      </c>
      <c r="AI9" s="120"/>
      <c r="AJ9" s="421">
        <f>RADIANS(AK9)</f>
        <v>0.48000045088348053</v>
      </c>
      <c r="AK9" s="420">
        <f t="shared" ref="AK9:AK29" si="8">IF($C$8="N",AK8+0.007,IF($C$8="S",AK8-0.007,#N/A))</f>
        <v>27.502000000000002</v>
      </c>
      <c r="AL9" s="425">
        <f>IFERROR(ABS((DEGREES(ACOS((SIN(hmav)-SIN(deka)*SIN(AJ9))/(COS(deka)*COS(AJ9)))+IF(EW=TRUE,1,-1)*ACOS((SIN(hmb)-SIN(dekb)*SIN(AJ9))/(COS(dekb)*COS(AJ9)))))/15)-dt,-$AL$8)</f>
        <v>4.24033585124306E-3</v>
      </c>
      <c r="AM9" s="110">
        <f>IF(AL9*AL10&lt;0,TRUE,0)</f>
        <v>0</v>
      </c>
      <c r="AN9" s="88"/>
      <c r="AP9" s="525" t="s">
        <v>90</v>
      </c>
      <c r="AQ9" s="526"/>
      <c r="AR9" s="526"/>
      <c r="AS9" s="39">
        <f>IF(_c&lt;90,_d*SIN(RADIANS(90-_c)),IF(AND(_c&gt;90,_c&lt;180),-_d*SIN(RADIANS(_c-90)),IF(AND(_c&gt;180,_c&lt;270),-_d*SIN(RADIANS(270-_c)),_d*SIN(RADIANS(_c-270)))))</f>
        <v>-16.935309867559674</v>
      </c>
      <c r="AT9" s="170" t="s">
        <v>89</v>
      </c>
      <c r="AU9" s="171">
        <f>AS9/60</f>
        <v>-0.28225516445932791</v>
      </c>
    </row>
    <row r="10" spans="2:50" ht="20" customHeight="1" thickBot="1">
      <c r="K10" s="321"/>
      <c r="L10" s="308" t="s">
        <v>68</v>
      </c>
      <c r="M10" s="313">
        <f>C6</f>
        <v>1.5</v>
      </c>
      <c r="N10" s="312"/>
      <c r="O10" s="313">
        <f>C7</f>
        <v>1.5</v>
      </c>
      <c r="P10" s="312"/>
      <c r="R10" s="327">
        <f t="shared" si="4"/>
        <v>4</v>
      </c>
      <c r="S10" s="328">
        <v>0</v>
      </c>
      <c r="U10" s="141" t="s">
        <v>78</v>
      </c>
      <c r="V10" s="352">
        <f>DEGREES(W10)</f>
        <v>63.952609174340068</v>
      </c>
      <c r="W10" s="142">
        <f>W9+hma</f>
        <v>1.1161835953333665</v>
      </c>
      <c r="X10" s="143" t="s">
        <v>79</v>
      </c>
      <c r="Z10" s="421">
        <f t="shared" si="0"/>
        <v>0.15707963267948966</v>
      </c>
      <c r="AA10" s="418">
        <f t="shared" si="5"/>
        <v>9</v>
      </c>
      <c r="AB10" s="423">
        <f t="shared" ref="AB10:AB39" si="9">IFERROR(ABS((DEGREES(ACOS((SIN(hma)-SIN(deka)*SIN(Z10))/(COS(deka)*COS(Z10)))+IF(EW=TRUE,1,-1)*ACOS((SIN(hmb)-SIN(dekb)*SIN(Z10))/(COS(dekb)*COS(Z10)))))/15)-dt,-$AB$8)</f>
        <v>1.3757409466749473</v>
      </c>
      <c r="AC10" s="110">
        <f t="shared" si="6"/>
        <v>0</v>
      </c>
      <c r="AD10" s="120"/>
      <c r="AE10" s="421">
        <f t="shared" si="1"/>
        <v>0.47298422729046335</v>
      </c>
      <c r="AF10" s="420">
        <f t="shared" si="7"/>
        <v>27.1</v>
      </c>
      <c r="AG10" s="424">
        <f t="shared" si="2"/>
        <v>0.10589046446521122</v>
      </c>
      <c r="AH10" s="110">
        <f t="shared" si="3"/>
        <v>0</v>
      </c>
      <c r="AI10" s="120"/>
      <c r="AJ10" s="421">
        <f t="shared" ref="AJ10:AJ30" si="10">RADIANS(AK10)</f>
        <v>0.48012262393112021</v>
      </c>
      <c r="AK10" s="420">
        <f t="shared" si="8"/>
        <v>27.509000000000004</v>
      </c>
      <c r="AL10" s="425">
        <f t="shared" ref="AL10:AL30" si="11">IFERROR(ABS((DEGREES(ACOS((SIN(hmav)-SIN(deka)*SIN(AJ10))/(COS(deka)*COS(AJ10)))+IF(EW=TRUE,1,-1)*ACOS((SIN(hmb)-SIN(dekb)*SIN(AJ10))/(COS(dekb)*COS(AJ10)))))/15)-dt,-$AL$8)</f>
        <v>2.9646205506663748E-3</v>
      </c>
      <c r="AM10" s="110">
        <f t="shared" ref="AM10:AM29" si="12">IF(AL10*AL11&lt;0,TRUE,0)</f>
        <v>0</v>
      </c>
      <c r="AN10" s="88"/>
      <c r="AP10" s="527" t="s">
        <v>91</v>
      </c>
      <c r="AQ10" s="528"/>
      <c r="AR10" s="528"/>
      <c r="AS10" s="172">
        <f>IF(_c&lt;90,_d*COS(RADIANS(90-_c)),IF(AND(_c&gt;90,_c&lt;179.99999),_d*COS(RADIANS(_c-90)),IF(AND(_c&gt;179.99999,_c&lt;269.00001),-_d*COS(RADIANS(270-_c)),-_d*COS(RADIANS(_c-270)))))</f>
        <v>1.4816476267101883</v>
      </c>
      <c r="AT10" s="173" t="s">
        <v>89</v>
      </c>
      <c r="AU10" s="174">
        <f>AS10/60/COS(Breite)</f>
        <v>2.7846101178448313E-2</v>
      </c>
    </row>
    <row r="11" spans="2:50" ht="20" customHeight="1">
      <c r="B11" s="296" t="s">
        <v>0</v>
      </c>
      <c r="C11" s="24"/>
      <c r="D11" s="24"/>
      <c r="E11" s="22"/>
      <c r="F11" s="22"/>
      <c r="G11" s="25"/>
      <c r="H11" s="25"/>
      <c r="K11" s="321"/>
      <c r="L11" s="308" t="s">
        <v>71</v>
      </c>
      <c r="M11" s="314">
        <f>M7+(M8+M9+M10)/60</f>
        <v>63.707213296385568</v>
      </c>
      <c r="N11" s="315" t="s">
        <v>39</v>
      </c>
      <c r="O11" s="314">
        <f>O7+(O8+O9+O10)/60</f>
        <v>60.612820863205741</v>
      </c>
      <c r="P11" s="315" t="s">
        <v>40</v>
      </c>
      <c r="R11" s="327">
        <f t="shared" si="4"/>
        <v>5</v>
      </c>
      <c r="S11" s="328">
        <v>-0.2</v>
      </c>
      <c r="Z11" s="421">
        <f t="shared" si="0"/>
        <v>0.19198621771937624</v>
      </c>
      <c r="AA11" s="418">
        <f t="shared" si="5"/>
        <v>11</v>
      </c>
      <c r="AB11" s="423">
        <f t="shared" si="9"/>
        <v>1.3412587740301634</v>
      </c>
      <c r="AC11" s="110">
        <f t="shared" si="6"/>
        <v>0</v>
      </c>
      <c r="AD11" s="120"/>
      <c r="AE11" s="421">
        <f t="shared" si="1"/>
        <v>0.47472955654245769</v>
      </c>
      <c r="AF11" s="420">
        <f t="shared" si="7"/>
        <v>27.200000000000003</v>
      </c>
      <c r="AG11" s="424">
        <f t="shared" si="2"/>
        <v>8.8892222211749861E-2</v>
      </c>
      <c r="AH11" s="110">
        <f t="shared" si="3"/>
        <v>0</v>
      </c>
      <c r="AI11" s="120"/>
      <c r="AJ11" s="421">
        <f t="shared" si="10"/>
        <v>0.48024479697875982</v>
      </c>
      <c r="AK11" s="420">
        <f t="shared" si="8"/>
        <v>27.516000000000005</v>
      </c>
      <c r="AL11" s="425">
        <f t="shared" si="11"/>
        <v>1.6875892497876244E-3</v>
      </c>
      <c r="AM11" s="110">
        <f t="shared" si="12"/>
        <v>0</v>
      </c>
      <c r="AN11" s="88"/>
    </row>
    <row r="12" spans="2:50" ht="20" customHeight="1">
      <c r="B12" s="291" t="s">
        <v>1</v>
      </c>
      <c r="C12" s="292"/>
      <c r="D12" s="45"/>
      <c r="E12" s="45"/>
      <c r="F12" s="293" t="str">
        <f xml:space="preserve"> IF(ISNUMBER(G12)=FALSE,"Datumsangabe korrigieren !!! ",IF((YEAR(G12)-H2=0)=FALSE,"falsches Jahr !!! ","TT.MM.JJ"))</f>
        <v>TT.MM.JJ</v>
      </c>
      <c r="G12" s="513">
        <v>44289</v>
      </c>
      <c r="H12" s="514"/>
      <c r="K12" s="321"/>
      <c r="L12" s="308" t="s">
        <v>72</v>
      </c>
      <c r="M12" s="316">
        <f>INT(M11)</f>
        <v>63</v>
      </c>
      <c r="N12" s="317">
        <f>(M11-M12)*60</f>
        <v>42.432797783134077</v>
      </c>
      <c r="O12" s="316">
        <f>INT(O11)</f>
        <v>60</v>
      </c>
      <c r="P12" s="317">
        <f>(O11-O12)*60</f>
        <v>36.769251792344448</v>
      </c>
      <c r="R12" s="327">
        <f t="shared" si="4"/>
        <v>6</v>
      </c>
      <c r="S12" s="328">
        <v>-0.2</v>
      </c>
      <c r="Z12" s="421">
        <f t="shared" si="0"/>
        <v>0.22689280275926285</v>
      </c>
      <c r="AA12" s="418">
        <f t="shared" si="5"/>
        <v>13</v>
      </c>
      <c r="AB12" s="423">
        <f t="shared" si="9"/>
        <v>1.287389514585322</v>
      </c>
      <c r="AC12" s="110">
        <f t="shared" si="6"/>
        <v>0</v>
      </c>
      <c r="AD12" s="120"/>
      <c r="AE12" s="421">
        <f t="shared" si="1"/>
        <v>0.47647488579445202</v>
      </c>
      <c r="AF12" s="420">
        <f t="shared" si="7"/>
        <v>27.300000000000004</v>
      </c>
      <c r="AG12" s="424">
        <f t="shared" si="2"/>
        <v>7.1658977782479649E-2</v>
      </c>
      <c r="AH12" s="110">
        <f t="shared" si="3"/>
        <v>0</v>
      </c>
      <c r="AI12" s="120"/>
      <c r="AJ12" s="421">
        <f t="shared" si="10"/>
        <v>0.48036697002639944</v>
      </c>
      <c r="AK12" s="420">
        <f t="shared" si="8"/>
        <v>27.523000000000007</v>
      </c>
      <c r="AL12" s="425">
        <f t="shared" si="11"/>
        <v>4.092392591119598E-4</v>
      </c>
      <c r="AM12" s="110" t="b">
        <f t="shared" si="12"/>
        <v>1</v>
      </c>
      <c r="AN12" s="88"/>
    </row>
    <row r="13" spans="2:50" ht="20" customHeight="1" thickBot="1">
      <c r="B13" s="291" t="s">
        <v>2</v>
      </c>
      <c r="C13" s="292"/>
      <c r="D13" s="45"/>
      <c r="E13" s="45"/>
      <c r="F13" s="293" t="str">
        <f>IF(ISNUMBER(G13)=TRUE,"hh:mm:ss"," Syntax !!! ")</f>
        <v>hh:mm:ss</v>
      </c>
      <c r="G13" s="509">
        <v>0.42509259259259258</v>
      </c>
      <c r="H13" s="510"/>
      <c r="I13" s="31"/>
      <c r="K13" s="322"/>
      <c r="L13" s="306" t="s">
        <v>69</v>
      </c>
      <c r="M13" s="318">
        <f>RADIANS(M11)</f>
        <v>1.1119006292922382</v>
      </c>
      <c r="N13" s="319" t="s">
        <v>16</v>
      </c>
      <c r="O13" s="318">
        <f>RADIANS(O11)</f>
        <v>1.0578932929844518</v>
      </c>
      <c r="P13" s="319" t="s">
        <v>20</v>
      </c>
      <c r="R13" s="327">
        <f>1+R12</f>
        <v>7</v>
      </c>
      <c r="S13" s="328">
        <v>-0.2</v>
      </c>
      <c r="Z13" s="421">
        <f t="shared" si="0"/>
        <v>0.26179938779914941</v>
      </c>
      <c r="AA13" s="418">
        <f t="shared" si="5"/>
        <v>15</v>
      </c>
      <c r="AB13" s="423">
        <f t="shared" si="9"/>
        <v>1.2127232094823088</v>
      </c>
      <c r="AC13" s="110">
        <f t="shared" si="6"/>
        <v>0</v>
      </c>
      <c r="AD13" s="120"/>
      <c r="AE13" s="421">
        <f t="shared" si="1"/>
        <v>0.47822021504644641</v>
      </c>
      <c r="AF13" s="420">
        <f t="shared" si="7"/>
        <v>27.400000000000006</v>
      </c>
      <c r="AG13" s="424">
        <f t="shared" si="2"/>
        <v>5.4184580512731007E-2</v>
      </c>
      <c r="AH13" s="110">
        <f t="shared" si="3"/>
        <v>0</v>
      </c>
      <c r="AI13" s="120"/>
      <c r="AJ13" s="421">
        <f t="shared" si="10"/>
        <v>0.48048914307403906</v>
      </c>
      <c r="AK13" s="420">
        <f t="shared" si="8"/>
        <v>27.530000000000008</v>
      </c>
      <c r="AL13" s="425">
        <f t="shared" si="11"/>
        <v>-8.7043212132131842E-4</v>
      </c>
      <c r="AM13" s="110">
        <f t="shared" si="12"/>
        <v>0</v>
      </c>
      <c r="AN13" s="88"/>
      <c r="AP13" s="29" t="s">
        <v>92</v>
      </c>
      <c r="AS13" s="175"/>
      <c r="AT13" s="175"/>
      <c r="AU13" s="176" t="s">
        <v>93</v>
      </c>
      <c r="AV13" s="177">
        <f>ABS(H29)/40</f>
        <v>2.5000000000000001E-2</v>
      </c>
      <c r="AX13" s="178"/>
    </row>
    <row r="14" spans="2:50" ht="20" customHeight="1" thickBot="1">
      <c r="B14" s="291" t="s">
        <v>4</v>
      </c>
      <c r="C14" s="521" t="str">
        <f>IF(G14&lt;10,"!!! minimale Höhe 10° !!!"," ")</f>
        <v xml:space="preserve"> </v>
      </c>
      <c r="D14" s="521"/>
      <c r="E14" s="521"/>
      <c r="F14" s="522"/>
      <c r="G14" s="46">
        <v>63</v>
      </c>
      <c r="H14" s="60">
        <v>28.2</v>
      </c>
      <c r="N14" s="114"/>
      <c r="O14" s="113"/>
      <c r="R14" s="327">
        <f t="shared" si="4"/>
        <v>8</v>
      </c>
      <c r="S14" s="328">
        <v>-0.2</v>
      </c>
      <c r="Z14" s="421">
        <f t="shared" si="0"/>
        <v>0.29670597283903605</v>
      </c>
      <c r="AA14" s="418">
        <f t="shared" si="5"/>
        <v>17</v>
      </c>
      <c r="AB14" s="423">
        <f t="shared" si="9"/>
        <v>1.1152388052414826</v>
      </c>
      <c r="AC14" s="110">
        <f t="shared" si="6"/>
        <v>0</v>
      </c>
      <c r="AD14" s="120"/>
      <c r="AE14" s="421">
        <f t="shared" si="1"/>
        <v>0.47996554429844074</v>
      </c>
      <c r="AF14" s="420">
        <f t="shared" si="7"/>
        <v>27.500000000000007</v>
      </c>
      <c r="AG14" s="424">
        <f t="shared" si="2"/>
        <v>3.6462567436307491E-2</v>
      </c>
      <c r="AH14" s="110">
        <f t="shared" si="3"/>
        <v>0</v>
      </c>
      <c r="AI14" s="120"/>
      <c r="AJ14" s="421">
        <f t="shared" si="10"/>
        <v>0.48061131612167868</v>
      </c>
      <c r="AK14" s="420">
        <f t="shared" si="8"/>
        <v>27.53700000000001</v>
      </c>
      <c r="AL14" s="425">
        <f t="shared" si="11"/>
        <v>-2.151427602022693E-3</v>
      </c>
      <c r="AM14" s="110">
        <f t="shared" si="12"/>
        <v>0</v>
      </c>
      <c r="AN14" s="88"/>
      <c r="AP14" s="179"/>
      <c r="AQ14" s="178"/>
      <c r="AR14" s="178"/>
      <c r="AS14" s="178"/>
      <c r="AT14" s="178"/>
      <c r="AU14" s="180"/>
      <c r="AV14" s="181"/>
      <c r="AW14" s="182"/>
      <c r="AX14" s="178"/>
    </row>
    <row r="15" spans="2:50" ht="20" customHeight="1" thickBot="1">
      <c r="B15" s="26"/>
      <c r="C15" s="26"/>
      <c r="D15" s="26"/>
      <c r="E15" s="47" t="str">
        <f>IF(NOT(INT(G14)=G14),"EINGABEFEHLER!  ","")</f>
        <v/>
      </c>
      <c r="F15" s="47"/>
      <c r="G15" s="44"/>
      <c r="H15" s="44"/>
      <c r="I15" s="15"/>
      <c r="K15" s="129" t="s">
        <v>13</v>
      </c>
      <c r="P15" s="127"/>
      <c r="R15" s="327">
        <f t="shared" si="4"/>
        <v>9</v>
      </c>
      <c r="S15" s="328">
        <v>-0.1</v>
      </c>
      <c r="Z15" s="421">
        <f t="shared" si="0"/>
        <v>0.33161255787892263</v>
      </c>
      <c r="AA15" s="418">
        <f t="shared" si="5"/>
        <v>19</v>
      </c>
      <c r="AB15" s="423">
        <f t="shared" si="9"/>
        <v>0.99208325463205327</v>
      </c>
      <c r="AC15" s="110">
        <f t="shared" si="6"/>
        <v>0</v>
      </c>
      <c r="AD15" s="120"/>
      <c r="AE15" s="421">
        <f t="shared" si="1"/>
        <v>0.48171087355043513</v>
      </c>
      <c r="AF15" s="420">
        <f t="shared" si="7"/>
        <v>27.600000000000009</v>
      </c>
      <c r="AG15" s="424">
        <f t="shared" si="2"/>
        <v>1.8486139437053684E-2</v>
      </c>
      <c r="AH15" s="110">
        <f t="shared" si="3"/>
        <v>0</v>
      </c>
      <c r="AI15" s="120"/>
      <c r="AJ15" s="421">
        <f t="shared" si="10"/>
        <v>0.48073348916931835</v>
      </c>
      <c r="AK15" s="420">
        <f t="shared" si="8"/>
        <v>27.544000000000011</v>
      </c>
      <c r="AL15" s="425">
        <f t="shared" si="11"/>
        <v>-3.4337499041061648E-3</v>
      </c>
      <c r="AM15" s="110">
        <f t="shared" si="12"/>
        <v>0</v>
      </c>
      <c r="AN15" s="88"/>
      <c r="AP15" s="183" t="s">
        <v>12</v>
      </c>
      <c r="AQ15" s="184" t="s">
        <v>94</v>
      </c>
      <c r="AR15" s="185" t="s">
        <v>95</v>
      </c>
      <c r="AS15" s="185" t="s">
        <v>96</v>
      </c>
      <c r="AT15" s="185" t="s">
        <v>97</v>
      </c>
      <c r="AU15" s="186" t="s">
        <v>98</v>
      </c>
      <c r="AV15" s="186" t="s">
        <v>99</v>
      </c>
      <c r="AW15" s="187" t="s">
        <v>100</v>
      </c>
      <c r="AX15" s="188" t="s">
        <v>101</v>
      </c>
    </row>
    <row r="16" spans="2:50" ht="20" customHeight="1" thickBot="1">
      <c r="B16" s="296" t="s">
        <v>6</v>
      </c>
      <c r="C16" s="64"/>
      <c r="D16" s="63"/>
      <c r="E16" s="25"/>
      <c r="F16" s="25"/>
      <c r="G16" s="25"/>
      <c r="H16" s="22"/>
      <c r="K16" s="130">
        <f>MONTH(G12)</f>
        <v>4</v>
      </c>
      <c r="M16" s="5"/>
      <c r="R16" s="327">
        <f t="shared" si="4"/>
        <v>10</v>
      </c>
      <c r="S16" s="328">
        <v>0.1</v>
      </c>
      <c r="Z16" s="421">
        <f t="shared" si="0"/>
        <v>0.36651914291880922</v>
      </c>
      <c r="AA16" s="418">
        <f t="shared" si="5"/>
        <v>21</v>
      </c>
      <c r="AB16" s="423">
        <f t="shared" si="9"/>
        <v>0.8391919830161525</v>
      </c>
      <c r="AC16" s="110">
        <f t="shared" si="6"/>
        <v>0</v>
      </c>
      <c r="AD16" s="120"/>
      <c r="AE16" s="421">
        <f t="shared" si="1"/>
        <v>0.48345620280242946</v>
      </c>
      <c r="AF16" s="420">
        <f t="shared" si="7"/>
        <v>27.70000000000001</v>
      </c>
      <c r="AG16" s="424">
        <f t="shared" si="2"/>
        <v>2.4813492543662719E-4</v>
      </c>
      <c r="AH16" s="110" t="b">
        <f t="shared" si="3"/>
        <v>1</v>
      </c>
      <c r="AI16" s="120"/>
      <c r="AJ16" s="421">
        <f t="shared" si="10"/>
        <v>0.48085566221695797</v>
      </c>
      <c r="AK16" s="420">
        <f t="shared" si="8"/>
        <v>27.551000000000013</v>
      </c>
      <c r="AL16" s="425">
        <f t="shared" si="11"/>
        <v>-4.7174017593429873E-3</v>
      </c>
      <c r="AM16" s="110">
        <f t="shared" si="12"/>
        <v>0</v>
      </c>
      <c r="AP16" s="189"/>
      <c r="AQ16" s="190"/>
      <c r="AR16" s="191"/>
      <c r="AS16" s="192"/>
      <c r="AT16" s="193"/>
      <c r="AU16" s="194"/>
      <c r="AV16" s="195"/>
      <c r="AW16" s="196"/>
      <c r="AX16" s="197"/>
    </row>
    <row r="17" spans="1:50" ht="20" customHeight="1">
      <c r="B17" s="291" t="s">
        <v>7</v>
      </c>
      <c r="C17" s="414">
        <v>17</v>
      </c>
      <c r="D17" s="50" t="s">
        <v>22</v>
      </c>
      <c r="E17" s="48"/>
      <c r="F17" s="51"/>
      <c r="G17" s="294" t="s">
        <v>8</v>
      </c>
      <c r="H17" s="415">
        <v>175</v>
      </c>
      <c r="J17" s="23"/>
      <c r="Q17" s="331"/>
      <c r="R17" s="327">
        <f t="shared" si="4"/>
        <v>11</v>
      </c>
      <c r="S17" s="328">
        <v>0.2</v>
      </c>
      <c r="Z17" s="421">
        <f t="shared" si="0"/>
        <v>0.4014257279586958</v>
      </c>
      <c r="AA17" s="418">
        <f t="shared" si="5"/>
        <v>23</v>
      </c>
      <c r="AB17" s="423">
        <f t="shared" si="9"/>
        <v>0.65059590841086701</v>
      </c>
      <c r="AC17" s="110">
        <f t="shared" si="6"/>
        <v>0</v>
      </c>
      <c r="AD17" s="120"/>
      <c r="AE17" s="421">
        <f t="shared" si="1"/>
        <v>0.48520153205442379</v>
      </c>
      <c r="AF17" s="420">
        <f t="shared" si="7"/>
        <v>27.800000000000011</v>
      </c>
      <c r="AG17" s="424">
        <f t="shared" si="2"/>
        <v>-1.8258999287454891E-2</v>
      </c>
      <c r="AH17" s="110">
        <f t="shared" si="3"/>
        <v>0</v>
      </c>
      <c r="AI17" s="120"/>
      <c r="AJ17" s="421">
        <f t="shared" si="10"/>
        <v>0.48097783526459759</v>
      </c>
      <c r="AK17" s="420">
        <f t="shared" si="8"/>
        <v>27.558000000000014</v>
      </c>
      <c r="AL17" s="425">
        <f t="shared" si="11"/>
        <v>-6.0023859102291688E-3</v>
      </c>
      <c r="AM17" s="110">
        <f t="shared" si="12"/>
        <v>0</v>
      </c>
      <c r="AP17" s="204">
        <f t="shared" ref="AP17:AP35" si="13">AP18+$AV$13</f>
        <v>28.16636634948788</v>
      </c>
      <c r="AQ17" s="198">
        <f t="shared" ref="AQ17:AQ57" si="14">RADIANS(AP17)</f>
        <v>0.49159583112149935</v>
      </c>
      <c r="AR17" s="199">
        <f t="shared" ref="AR17:AR57" si="15">IFERROR(DEGREES(grta+IF(dira="W",-1,1)*ACOS((SIN(hma)-SIN(deka)*SIN(AQ17))/COS(deka)/COS(AQ17))),#N/A)</f>
        <v>346.22645971317843</v>
      </c>
      <c r="AS17" s="200">
        <f t="shared" ref="AS17:AS57" si="16">IFERROR(DEGREES(grtb+IF(dirb="W",-1,1)*ACOS((SIN(hmb)-SIN(dekb)*SIN(AQ17))/COS(dekb)/COS(AQ17))),#N/A)</f>
        <v>347.5609968813352</v>
      </c>
      <c r="AT17" s="201">
        <f t="shared" ref="AT17:AT57" si="17">IFERROR(DEGREES(grta+IF(dira="W",-1,1)*ACOS((SIN(hmav)-SIN(deka)*SIN(AQ17))/COS(deka)/COS(AQ17))),#N/A)</f>
        <v>345.7072446324853</v>
      </c>
      <c r="AU17" s="199">
        <f>IFERROR(IF(AR17&lt;0,ABS(AR17),IF(AR17&gt;360,-(AR17-360),IF(AND(AR17&gt;180,AR17&lt;360),360-AR17,-AR17))),#N/A)</f>
        <v>13.773540286821571</v>
      </c>
      <c r="AV17" s="200">
        <f>IFERROR(IF(AS17&lt;0,ABS(AS17),IF(AS17&gt;360,-(AS17-360),IF(AND(AS17&gt;180,AS17&lt;360),360-AS17,-AS17))),#N/A)</f>
        <v>12.4390031186648</v>
      </c>
      <c r="AW17" s="202">
        <f>IF(AT17&lt;0,ABS(AT17),IF(AT17&gt;360,-(AT17-360),IF(AND(AT17&gt;180,AT17&lt;360),360-AT17,-AT17)))</f>
        <v>14.292755367514701</v>
      </c>
      <c r="AX17" s="203"/>
    </row>
    <row r="18" spans="1:50" ht="20" customHeight="1" thickBot="1">
      <c r="B18" s="22"/>
      <c r="C18" s="22"/>
      <c r="D18" s="22"/>
      <c r="E18" s="22"/>
      <c r="F18" s="22"/>
      <c r="G18" s="22"/>
      <c r="H18" s="22"/>
      <c r="R18" s="329">
        <f t="shared" si="4"/>
        <v>12</v>
      </c>
      <c r="S18" s="330">
        <v>0.3</v>
      </c>
      <c r="Z18" s="421">
        <f t="shared" si="0"/>
        <v>0.43633231299858238</v>
      </c>
      <c r="AA18" s="418">
        <f t="shared" si="5"/>
        <v>25</v>
      </c>
      <c r="AB18" s="423">
        <f t="shared" si="9"/>
        <v>0.41702752305924218</v>
      </c>
      <c r="AC18" s="110">
        <f t="shared" si="6"/>
        <v>0</v>
      </c>
      <c r="AD18" s="120"/>
      <c r="AE18" s="421">
        <f t="shared" si="1"/>
        <v>0.48694686130641818</v>
      </c>
      <c r="AF18" s="420">
        <f t="shared" si="7"/>
        <v>27.900000000000013</v>
      </c>
      <c r="AG18" s="424">
        <f t="shared" si="2"/>
        <v>-3.7043240299379665E-2</v>
      </c>
      <c r="AH18" s="110">
        <f t="shared" si="3"/>
        <v>0</v>
      </c>
      <c r="AI18" s="120"/>
      <c r="AJ18" s="421">
        <f t="shared" si="10"/>
        <v>0.4811000083122372</v>
      </c>
      <c r="AK18" s="420">
        <f t="shared" si="8"/>
        <v>27.565000000000015</v>
      </c>
      <c r="AL18" s="425">
        <f t="shared" si="11"/>
        <v>-7.2887051100498645E-3</v>
      </c>
      <c r="AM18" s="110">
        <f t="shared" si="12"/>
        <v>0</v>
      </c>
      <c r="AP18" s="204">
        <f t="shared" si="13"/>
        <v>28.141366349487882</v>
      </c>
      <c r="AQ18" s="198">
        <f t="shared" si="14"/>
        <v>0.49115949880850079</v>
      </c>
      <c r="AR18" s="205">
        <f t="shared" si="15"/>
        <v>346.27013727052037</v>
      </c>
      <c r="AS18" s="206">
        <f t="shared" si="16"/>
        <v>347.53087524907403</v>
      </c>
      <c r="AT18" s="207">
        <f t="shared" si="17"/>
        <v>345.75268903018406</v>
      </c>
      <c r="AU18" s="205">
        <f t="shared" ref="AU18:AV57" si="18">IFERROR(IF(AR18&lt;0,ABS(AR18),IF(AR18&gt;360,-(AR18-360),IF(AND(AR18&gt;180,AR18&lt;360),360-AR18,-AR18))),#N/A)</f>
        <v>13.729862729479635</v>
      </c>
      <c r="AV18" s="206">
        <f t="shared" si="18"/>
        <v>12.469124750925971</v>
      </c>
      <c r="AW18" s="208">
        <f t="shared" ref="AW18:AW57" si="19">IF(AT18&lt;0,ABS(AT18),IF(AT18&gt;360,-(AT18-360),IF(AND(AT18&gt;180,AT18&lt;360),360-AT18,-AT18)))</f>
        <v>14.247310969815942</v>
      </c>
      <c r="AX18" s="203"/>
    </row>
    <row r="19" spans="1:50" ht="20" customHeight="1">
      <c r="B19" s="296" t="s">
        <v>3</v>
      </c>
      <c r="C19" s="35"/>
      <c r="D19" s="35"/>
      <c r="E19" s="36"/>
      <c r="F19" s="36"/>
      <c r="G19" s="37"/>
      <c r="H19" s="1"/>
      <c r="Z19" s="421">
        <f t="shared" si="0"/>
        <v>0.47123889803846897</v>
      </c>
      <c r="AA19" s="418">
        <f t="shared" si="5"/>
        <v>27</v>
      </c>
      <c r="AB19" s="423">
        <f>IFERROR(ABS((DEGREES(ACOS((SIN(hma)-SIN(deka)*SIN(Z19))/(COS(deka)*COS(Z19)))+IF(EW=TRUE,1,-1)*ACOS((SIN(hmb)-SIN(dekb)*SIN(Z19))/(COS(dekb)*COS(Z19)))))/15)-dt,-$AB$8)</f>
        <v>0.12265956456244664</v>
      </c>
      <c r="AC19" s="110" t="b">
        <f t="shared" si="6"/>
        <v>1</v>
      </c>
      <c r="AD19" s="120"/>
      <c r="AE19" s="421">
        <f t="shared" si="1"/>
        <v>0.48869219055841251</v>
      </c>
      <c r="AF19" s="420">
        <f t="shared" si="7"/>
        <v>28.000000000000014</v>
      </c>
      <c r="AG19" s="424">
        <f t="shared" si="2"/>
        <v>-5.6113025054090659E-2</v>
      </c>
      <c r="AH19" s="110">
        <f t="shared" si="3"/>
        <v>0</v>
      </c>
      <c r="AI19" s="120"/>
      <c r="AJ19" s="421">
        <f t="shared" si="10"/>
        <v>0.48122218135987682</v>
      </c>
      <c r="AK19" s="420">
        <f t="shared" si="8"/>
        <v>27.572000000000017</v>
      </c>
      <c r="AL19" s="425">
        <f>IFERROR(ABS((DEGREES(ACOS((SIN(hmav)-SIN(deka)*SIN(AJ19))/(COS(deka)*COS(AJ19)))+IF(EW=TRUE,1,-1)*ACOS((SIN(hmb)-SIN(dekb)*SIN(AJ19))/(COS(dekb)*COS(AJ19)))))/15)-dt,-$AL$8)</f>
        <v>-8.5763621229384412E-3</v>
      </c>
      <c r="AM19" s="110">
        <f t="shared" si="12"/>
        <v>0</v>
      </c>
      <c r="AP19" s="204">
        <f t="shared" si="13"/>
        <v>28.116366349487883</v>
      </c>
      <c r="AQ19" s="198">
        <f t="shared" si="14"/>
        <v>0.49072316649550224</v>
      </c>
      <c r="AR19" s="205">
        <f t="shared" si="15"/>
        <v>346.31361607229059</v>
      </c>
      <c r="AS19" s="206">
        <f t="shared" si="16"/>
        <v>347.50084361799912</v>
      </c>
      <c r="AT19" s="207">
        <f t="shared" si="17"/>
        <v>345.79791542120756</v>
      </c>
      <c r="AU19" s="205">
        <f t="shared" si="18"/>
        <v>13.686383927709414</v>
      </c>
      <c r="AV19" s="206">
        <f t="shared" si="18"/>
        <v>12.499156382000876</v>
      </c>
      <c r="AW19" s="208">
        <f t="shared" si="19"/>
        <v>14.202084578792437</v>
      </c>
      <c r="AX19" s="203"/>
    </row>
    <row r="20" spans="1:50" ht="20" customHeight="1">
      <c r="B20" s="291" t="s">
        <v>1</v>
      </c>
      <c r="C20" s="45"/>
      <c r="D20" s="446"/>
      <c r="E20" s="447"/>
      <c r="F20" s="45" t="str">
        <f>IF(G20-G12=1,"Folgetag "," ")</f>
        <v xml:space="preserve"> </v>
      </c>
      <c r="G20" s="511">
        <f>IF(_oz2&lt;_oz1,G12+1,G12)</f>
        <v>44289</v>
      </c>
      <c r="H20" s="512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Z20" s="421">
        <f t="shared" si="0"/>
        <v>0.50614548307835561</v>
      </c>
      <c r="AA20" s="418">
        <f t="shared" si="5"/>
        <v>29</v>
      </c>
      <c r="AB20" s="423">
        <f t="shared" si="9"/>
        <v>-0.26479819318109143</v>
      </c>
      <c r="AC20" s="110">
        <f t="shared" si="6"/>
        <v>0</v>
      </c>
      <c r="AD20" s="120"/>
      <c r="AE20" s="421">
        <f t="shared" si="1"/>
        <v>0.4904375198104069</v>
      </c>
      <c r="AF20" s="420">
        <f t="shared" si="7"/>
        <v>28.100000000000016</v>
      </c>
      <c r="AG20" s="424">
        <f t="shared" si="2"/>
        <v>-7.5477290426407606E-2</v>
      </c>
      <c r="AH20" s="110">
        <f t="shared" si="3"/>
        <v>0</v>
      </c>
      <c r="AI20" s="120"/>
      <c r="AJ20" s="421">
        <f t="shared" si="10"/>
        <v>0.48134435440751644</v>
      </c>
      <c r="AK20" s="420">
        <f t="shared" si="8"/>
        <v>27.579000000000018</v>
      </c>
      <c r="AL20" s="425">
        <f t="shared" si="11"/>
        <v>-9.8653597239350965E-3</v>
      </c>
      <c r="AM20" s="110">
        <f t="shared" si="12"/>
        <v>0</v>
      </c>
      <c r="AP20" s="204">
        <f t="shared" si="13"/>
        <v>28.091366349487885</v>
      </c>
      <c r="AQ20" s="198">
        <f t="shared" si="14"/>
        <v>0.49028683418250368</v>
      </c>
      <c r="AR20" s="205">
        <f t="shared" si="15"/>
        <v>346.35689800374115</v>
      </c>
      <c r="AS20" s="206">
        <f t="shared" si="16"/>
        <v>347.47090154366714</v>
      </c>
      <c r="AT20" s="207">
        <f t="shared" si="17"/>
        <v>345.84292603037761</v>
      </c>
      <c r="AU20" s="205">
        <f t="shared" si="18"/>
        <v>13.643101996258849</v>
      </c>
      <c r="AV20" s="206">
        <f t="shared" si="18"/>
        <v>12.529098456332861</v>
      </c>
      <c r="AW20" s="208">
        <f t="shared" si="19"/>
        <v>14.157073969622388</v>
      </c>
      <c r="AX20" s="203"/>
    </row>
    <row r="21" spans="1:50" ht="20" customHeight="1">
      <c r="B21" s="291" t="s">
        <v>2</v>
      </c>
      <c r="C21" s="292"/>
      <c r="D21" s="45"/>
      <c r="E21" s="45"/>
      <c r="F21" s="293" t="str">
        <f>IF(ISNUMBER(G21)=TRUE,"hh:mm:ss"," Syntax !!! ")</f>
        <v>hh:mm:ss</v>
      </c>
      <c r="G21" s="509">
        <v>0.52248842592592593</v>
      </c>
      <c r="H21" s="510"/>
      <c r="Z21" s="421">
        <f t="shared" si="0"/>
        <v>0.54105206811824214</v>
      </c>
      <c r="AA21" s="418">
        <f t="shared" si="5"/>
        <v>31</v>
      </c>
      <c r="AB21" s="423">
        <f t="shared" si="9"/>
        <v>-0.85010647885025015</v>
      </c>
      <c r="AC21" s="110">
        <f t="shared" si="6"/>
        <v>0</v>
      </c>
      <c r="AD21" s="120"/>
      <c r="AE21" s="421">
        <f t="shared" si="1"/>
        <v>0.49218284906240123</v>
      </c>
      <c r="AF21" s="420">
        <f t="shared" si="7"/>
        <v>28.200000000000017</v>
      </c>
      <c r="AG21" s="424">
        <f t="shared" si="2"/>
        <v>-9.5145518067077717E-2</v>
      </c>
      <c r="AH21" s="110">
        <f t="shared" si="3"/>
        <v>0</v>
      </c>
      <c r="AI21" s="120"/>
      <c r="AJ21" s="421">
        <f t="shared" si="10"/>
        <v>0.48146652745515611</v>
      </c>
      <c r="AK21" s="420">
        <f t="shared" si="8"/>
        <v>27.58600000000002</v>
      </c>
      <c r="AL21" s="425">
        <f t="shared" si="11"/>
        <v>-1.1155700699067683E-2</v>
      </c>
      <c r="AM21" s="110">
        <f t="shared" si="12"/>
        <v>0</v>
      </c>
      <c r="AP21" s="204">
        <f t="shared" si="13"/>
        <v>28.066366349487886</v>
      </c>
      <c r="AQ21" s="198">
        <f t="shared" si="14"/>
        <v>0.48985050186950513</v>
      </c>
      <c r="AR21" s="205">
        <f t="shared" si="15"/>
        <v>346.39998491875502</v>
      </c>
      <c r="AS21" s="206">
        <f t="shared" si="16"/>
        <v>347.44104858559189</v>
      </c>
      <c r="AT21" s="207">
        <f t="shared" si="17"/>
        <v>345.8877230428115</v>
      </c>
      <c r="AU21" s="205">
        <f t="shared" si="18"/>
        <v>13.600015081244976</v>
      </c>
      <c r="AV21" s="206">
        <f t="shared" si="18"/>
        <v>12.558951414408114</v>
      </c>
      <c r="AW21" s="208">
        <f t="shared" si="19"/>
        <v>14.112276957188499</v>
      </c>
      <c r="AX21" s="203"/>
    </row>
    <row r="22" spans="1:50" ht="20" customHeight="1" thickBot="1">
      <c r="B22" s="291" t="s">
        <v>4</v>
      </c>
      <c r="C22" s="521" t="str">
        <f>IF(G22&lt;10,"!!! minimale Höhe 10° !!!"," ")</f>
        <v xml:space="preserve"> </v>
      </c>
      <c r="D22" s="521"/>
      <c r="E22" s="521"/>
      <c r="F22" s="522"/>
      <c r="G22" s="46">
        <v>60</v>
      </c>
      <c r="H22" s="60">
        <v>22.6</v>
      </c>
      <c r="K22" s="233" t="s">
        <v>52</v>
      </c>
      <c r="L22" s="178"/>
      <c r="M22" s="178"/>
      <c r="N22" s="178"/>
      <c r="O22" s="234" t="s">
        <v>53</v>
      </c>
      <c r="P22" s="277">
        <v>36526</v>
      </c>
      <c r="Q22" s="178"/>
      <c r="R22" s="178"/>
      <c r="S22" s="178"/>
      <c r="U22" s="125" t="s">
        <v>128</v>
      </c>
      <c r="Z22" s="421">
        <f t="shared" si="0"/>
        <v>0.57595865315812877</v>
      </c>
      <c r="AA22" s="418">
        <f t="shared" si="5"/>
        <v>33</v>
      </c>
      <c r="AB22" s="423">
        <f t="shared" si="9"/>
        <v>-1.3898668028187315</v>
      </c>
      <c r="AC22" s="110">
        <f t="shared" si="6"/>
        <v>0</v>
      </c>
      <c r="AD22" s="120"/>
      <c r="AE22" s="421">
        <f t="shared" si="1"/>
        <v>0.49392817831439556</v>
      </c>
      <c r="AF22" s="420">
        <f t="shared" si="7"/>
        <v>28.300000000000018</v>
      </c>
      <c r="AG22" s="424">
        <f t="shared" si="2"/>
        <v>-0.11512778472994967</v>
      </c>
      <c r="AH22" s="110">
        <f t="shared" si="3"/>
        <v>0</v>
      </c>
      <c r="AI22" s="120"/>
      <c r="AJ22" s="421">
        <f t="shared" si="10"/>
        <v>0.48158870050279573</v>
      </c>
      <c r="AK22" s="420">
        <f t="shared" si="8"/>
        <v>27.593000000000021</v>
      </c>
      <c r="AL22" s="425">
        <f t="shared" si="11"/>
        <v>-1.2447387845384572E-2</v>
      </c>
      <c r="AM22" s="110">
        <f t="shared" si="12"/>
        <v>0</v>
      </c>
      <c r="AP22" s="204">
        <f t="shared" si="13"/>
        <v>28.041366349487888</v>
      </c>
      <c r="AQ22" s="198">
        <f t="shared" si="14"/>
        <v>0.48941416955650657</v>
      </c>
      <c r="AR22" s="205">
        <f t="shared" si="15"/>
        <v>346.44287864057901</v>
      </c>
      <c r="AS22" s="206">
        <f t="shared" si="16"/>
        <v>347.4112843071951</v>
      </c>
      <c r="AT22" s="207">
        <f t="shared" si="17"/>
        <v>345.93230860491644</v>
      </c>
      <c r="AU22" s="205">
        <f t="shared" si="18"/>
        <v>13.557121359420989</v>
      </c>
      <c r="AV22" s="206">
        <f t="shared" si="18"/>
        <v>12.588715692804897</v>
      </c>
      <c r="AW22" s="208">
        <f t="shared" si="19"/>
        <v>14.067691395083557</v>
      </c>
      <c r="AX22" s="203"/>
    </row>
    <row r="23" spans="1:50" ht="20" customHeight="1" thickBot="1">
      <c r="B23" s="22"/>
      <c r="C23" s="22"/>
      <c r="D23" s="22"/>
      <c r="E23" s="47" t="str">
        <f>IF(NOT(INT(G22)=G22),"EINGABEFEHLER!  ","")</f>
        <v/>
      </c>
      <c r="F23" s="47"/>
      <c r="G23" s="44"/>
      <c r="H23" s="44"/>
      <c r="K23" s="278" t="s">
        <v>41</v>
      </c>
      <c r="L23" s="279" t="s">
        <v>11</v>
      </c>
      <c r="M23" s="280" t="s">
        <v>42</v>
      </c>
      <c r="N23" s="281" t="s">
        <v>42</v>
      </c>
      <c r="O23" s="281" t="s">
        <v>43</v>
      </c>
      <c r="P23" s="282" t="s">
        <v>44</v>
      </c>
      <c r="Q23" s="341"/>
      <c r="R23" s="75"/>
      <c r="U23" s="488" t="s">
        <v>129</v>
      </c>
      <c r="V23" s="479" t="s">
        <v>131</v>
      </c>
      <c r="W23" s="476">
        <f>IF(C8 ="N",1,0)</f>
        <v>1</v>
      </c>
      <c r="X23" s="480" t="s">
        <v>130</v>
      </c>
      <c r="Z23" s="421">
        <f t="shared" si="0"/>
        <v>0.6108652381980153</v>
      </c>
      <c r="AA23" s="418">
        <f t="shared" si="5"/>
        <v>35</v>
      </c>
      <c r="AB23" s="423">
        <f t="shared" si="9"/>
        <v>-1.3898668028187315</v>
      </c>
      <c r="AC23" s="110">
        <f t="shared" si="6"/>
        <v>0</v>
      </c>
      <c r="AD23" s="120"/>
      <c r="AE23" s="421">
        <f t="shared" si="1"/>
        <v>0.49567350756638995</v>
      </c>
      <c r="AF23" s="420">
        <f t="shared" si="7"/>
        <v>28.40000000000002</v>
      </c>
      <c r="AG23" s="424">
        <f t="shared" si="2"/>
        <v>-0.13543481893882303</v>
      </c>
      <c r="AH23" s="110">
        <f t="shared" si="3"/>
        <v>0</v>
      </c>
      <c r="AI23" s="120"/>
      <c r="AJ23" s="421">
        <f t="shared" si="10"/>
        <v>0.48171087355043535</v>
      </c>
      <c r="AK23" s="420">
        <f t="shared" si="8"/>
        <v>27.600000000000023</v>
      </c>
      <c r="AL23" s="425">
        <f t="shared" si="11"/>
        <v>-1.3740423971053239E-2</v>
      </c>
      <c r="AM23" s="110">
        <f t="shared" si="12"/>
        <v>0</v>
      </c>
      <c r="AP23" s="204">
        <f t="shared" si="13"/>
        <v>28.016366349487889</v>
      </c>
      <c r="AQ23" s="198">
        <f t="shared" si="14"/>
        <v>0.48897783724350802</v>
      </c>
      <c r="AR23" s="205">
        <f t="shared" si="15"/>
        <v>346.48558096253504</v>
      </c>
      <c r="AS23" s="206">
        <f t="shared" si="16"/>
        <v>347.38160827575706</v>
      </c>
      <c r="AT23" s="207">
        <f t="shared" si="17"/>
        <v>345.97668482535192</v>
      </c>
      <c r="AU23" s="205">
        <f t="shared" si="18"/>
        <v>13.514419037464961</v>
      </c>
      <c r="AV23" s="206">
        <f t="shared" si="18"/>
        <v>12.61839172424294</v>
      </c>
      <c r="AW23" s="208">
        <f t="shared" si="19"/>
        <v>14.023315174648076</v>
      </c>
      <c r="AX23" s="203"/>
    </row>
    <row r="24" spans="1:50" ht="20" customHeight="1">
      <c r="B24" s="296" t="s">
        <v>27</v>
      </c>
      <c r="C24" s="40"/>
      <c r="D24" s="27"/>
      <c r="E24" s="27"/>
      <c r="F24" s="38"/>
      <c r="G24" s="1"/>
      <c r="H24" s="1"/>
      <c r="K24" s="353">
        <f>HOUR(_oz1)</f>
        <v>10</v>
      </c>
      <c r="L24" s="354">
        <f>_xlfn.DAYS($G$12,$P$22)-0.5+K24/24</f>
        <v>7762.916666666667</v>
      </c>
      <c r="M24" s="355">
        <f>0.0167089-(0.000042/36525)*L24</f>
        <v>1.6699973442847363E-2</v>
      </c>
      <c r="N24" s="356">
        <f>23+26/60+21/3600-(46.82/3600/36525)*L24</f>
        <v>23.436402503929322</v>
      </c>
      <c r="O24" s="356">
        <f>282.94+(1.7192/36525)*L24</f>
        <v>283.30539373944788</v>
      </c>
      <c r="P24" s="357">
        <f>280.4656+(36000.769/36525)*L24</f>
        <v>7931.9637432694508</v>
      </c>
      <c r="Q24" s="341"/>
      <c r="R24" s="41"/>
      <c r="U24" s="478" t="s">
        <v>132</v>
      </c>
      <c r="V24" s="462">
        <f>DEGREES(W24)</f>
        <v>5.4772371647872857</v>
      </c>
      <c r="W24" s="463">
        <f>U*deka</f>
        <v>9.5595822438137357E-2</v>
      </c>
      <c r="X24" s="493"/>
      <c r="Z24" s="421">
        <f t="shared" si="0"/>
        <v>0.64577182323790194</v>
      </c>
      <c r="AA24" s="418">
        <f t="shared" si="5"/>
        <v>37</v>
      </c>
      <c r="AB24" s="423">
        <f t="shared" si="9"/>
        <v>-1.3898668028187315</v>
      </c>
      <c r="AC24" s="110">
        <f t="shared" si="6"/>
        <v>0</v>
      </c>
      <c r="AD24" s="120"/>
      <c r="AE24" s="421">
        <f t="shared" si="1"/>
        <v>0.49741883681838428</v>
      </c>
      <c r="AF24" s="420">
        <f t="shared" si="7"/>
        <v>28.500000000000021</v>
      </c>
      <c r="AG24" s="424">
        <f t="shared" si="2"/>
        <v>-0.15607806501589971</v>
      </c>
      <c r="AH24" s="110">
        <f t="shared" si="3"/>
        <v>0</v>
      </c>
      <c r="AI24" s="120"/>
      <c r="AJ24" s="421">
        <f t="shared" si="10"/>
        <v>0.48183304659807497</v>
      </c>
      <c r="AK24" s="420">
        <f t="shared" si="8"/>
        <v>27.607000000000024</v>
      </c>
      <c r="AL24" s="425">
        <f t="shared" si="11"/>
        <v>-1.5034811895409117E-2</v>
      </c>
      <c r="AM24" s="110">
        <f t="shared" si="12"/>
        <v>0</v>
      </c>
      <c r="AP24" s="204">
        <f t="shared" si="13"/>
        <v>27.99136634948789</v>
      </c>
      <c r="AQ24" s="198">
        <f t="shared" si="14"/>
        <v>0.48854150493050946</v>
      </c>
      <c r="AR24" s="205">
        <f t="shared" si="15"/>
        <v>346.52809364871018</v>
      </c>
      <c r="AS24" s="206">
        <f t="shared" si="16"/>
        <v>347.35202006236909</v>
      </c>
      <c r="AT24" s="207">
        <f t="shared" si="17"/>
        <v>346.02085377596148</v>
      </c>
      <c r="AU24" s="205">
        <f t="shared" si="18"/>
        <v>13.471906351289817</v>
      </c>
      <c r="AV24" s="206">
        <f t="shared" si="18"/>
        <v>12.647979937630907</v>
      </c>
      <c r="AW24" s="208">
        <f t="shared" si="19"/>
        <v>13.979146224038516</v>
      </c>
      <c r="AX24" s="203"/>
    </row>
    <row r="25" spans="1:50" ht="20" customHeight="1" thickBot="1">
      <c r="B25" s="66" t="s">
        <v>26</v>
      </c>
      <c r="C25" s="52">
        <f>AL53</f>
        <v>27</v>
      </c>
      <c r="D25" s="53">
        <f>AM53</f>
        <v>31.514326035494662</v>
      </c>
      <c r="E25" s="54" t="str">
        <f>AN53</f>
        <v>N</v>
      </c>
      <c r="F25" s="55">
        <f>AL59</f>
        <v>13</v>
      </c>
      <c r="G25" s="56">
        <f>AM59</f>
        <v>11.471151212460882</v>
      </c>
      <c r="H25" s="57" t="str">
        <f>AN59</f>
        <v>E</v>
      </c>
      <c r="K25" s="358">
        <f>K24+1</f>
        <v>11</v>
      </c>
      <c r="L25" s="359">
        <f>_xlfn.DAYS(G12,P22)-0.5+K25/24</f>
        <v>7762.958333333333</v>
      </c>
      <c r="M25" s="360">
        <f>0.0167089-(0.000042/36525)*L25</f>
        <v>1.6699973394934974E-2</v>
      </c>
      <c r="N25" s="361">
        <f>23+26/60+21/3600-(46.82/3600/36525)*L25</f>
        <v>23.436402489092959</v>
      </c>
      <c r="O25" s="361">
        <f>282.94+(1.7192/36525)*L25</f>
        <v>283.30539570066162</v>
      </c>
      <c r="P25" s="362">
        <f>280.4656+(36000.769/36525)*L25</f>
        <v>7932.0048119085095</v>
      </c>
      <c r="Q25" s="342"/>
      <c r="R25" s="74"/>
      <c r="U25" s="448" t="s">
        <v>133</v>
      </c>
      <c r="V25" s="449">
        <f t="shared" ref="V25:V31" si="20">DEGREES(W25)</f>
        <v>5.5144679500749048</v>
      </c>
      <c r="W25" s="450">
        <f>U*dekb</f>
        <v>9.6245622224509372E-2</v>
      </c>
      <c r="X25" s="494"/>
      <c r="Z25" s="421">
        <f t="shared" si="0"/>
        <v>0.68067840827778847</v>
      </c>
      <c r="AA25" s="418">
        <f t="shared" si="5"/>
        <v>39</v>
      </c>
      <c r="AB25" s="423">
        <f t="shared" si="9"/>
        <v>-1.3898668028187315</v>
      </c>
      <c r="AC25" s="110">
        <f t="shared" si="6"/>
        <v>0</v>
      </c>
      <c r="AD25" s="120"/>
      <c r="AE25" s="421">
        <f t="shared" si="1"/>
        <v>0.49916416607037867</v>
      </c>
      <c r="AF25" s="420">
        <f t="shared" si="7"/>
        <v>28.600000000000023</v>
      </c>
      <c r="AG25" s="424">
        <f t="shared" si="2"/>
        <v>-0.17706975569654748</v>
      </c>
      <c r="AH25" s="110">
        <f t="shared" si="3"/>
        <v>0</v>
      </c>
      <c r="AI25" s="120"/>
      <c r="AJ25" s="421">
        <f t="shared" si="10"/>
        <v>0.48195521964571458</v>
      </c>
      <c r="AK25" s="420">
        <f t="shared" si="8"/>
        <v>27.614000000000026</v>
      </c>
      <c r="AL25" s="425">
        <f t="shared" si="11"/>
        <v>-1.6330554449013324E-2</v>
      </c>
      <c r="AM25" s="110">
        <f t="shared" si="12"/>
        <v>0</v>
      </c>
      <c r="AP25" s="204">
        <f t="shared" si="13"/>
        <v>27.966366349487892</v>
      </c>
      <c r="AQ25" s="198">
        <f t="shared" si="14"/>
        <v>0.48810517261751091</v>
      </c>
      <c r="AR25" s="205">
        <f t="shared" si="15"/>
        <v>346.57041843462622</v>
      </c>
      <c r="AS25" s="206">
        <f t="shared" si="16"/>
        <v>347.32251924188574</v>
      </c>
      <c r="AT25" s="207">
        <f t="shared" si="17"/>
        <v>346.06481749267516</v>
      </c>
      <c r="AU25" s="205">
        <f t="shared" si="18"/>
        <v>13.42958156537378</v>
      </c>
      <c r="AV25" s="206">
        <f t="shared" si="18"/>
        <v>12.677480758114257</v>
      </c>
      <c r="AW25" s="208">
        <f t="shared" si="19"/>
        <v>13.935182507324839</v>
      </c>
      <c r="AX25" s="203"/>
    </row>
    <row r="26" spans="1:50" ht="20" customHeight="1">
      <c r="B26" s="441" t="s">
        <v>51</v>
      </c>
      <c r="C26" s="504">
        <f>(360-LHA)/15/24+G13</f>
        <v>0.46560058429841156</v>
      </c>
      <c r="D26" s="504"/>
      <c r="E26" s="442" t="s">
        <v>122</v>
      </c>
      <c r="G26" s="49"/>
      <c r="H26" s="34"/>
      <c r="K26" s="363">
        <f>HOUR(_oz2)</f>
        <v>12</v>
      </c>
      <c r="L26" s="364">
        <f>_xlfn.DAYS(G20,P22)-0.5+K26/24</f>
        <v>7763</v>
      </c>
      <c r="M26" s="365">
        <f>0.0167089-(0.000042/36525)*L26</f>
        <v>1.6699973347022588E-2</v>
      </c>
      <c r="N26" s="366">
        <f>23+26/60+21/3600-(46.82/3600/36525)*L26</f>
        <v>23.436402474256596</v>
      </c>
      <c r="O26" s="366">
        <f>282.94+(1.7192/36525)*L26</f>
        <v>283.30539766187542</v>
      </c>
      <c r="P26" s="367">
        <f>280.4656+(36000.769/36525)*L26</f>
        <v>7932.0458805475701</v>
      </c>
      <c r="Q26" s="343"/>
      <c r="R26" s="41"/>
      <c r="U26" s="451" t="s">
        <v>134</v>
      </c>
      <c r="V26" s="449">
        <f t="shared" si="20"/>
        <v>84.522762835212703</v>
      </c>
      <c r="W26" s="450">
        <f>PI()/2-W24</f>
        <v>1.4752005043567591</v>
      </c>
      <c r="X26" s="494"/>
      <c r="Z26" s="421">
        <f t="shared" si="0"/>
        <v>0.71558499331767511</v>
      </c>
      <c r="AA26" s="418">
        <f t="shared" si="5"/>
        <v>41</v>
      </c>
      <c r="AB26" s="423">
        <f t="shared" si="9"/>
        <v>-1.3898668028187315</v>
      </c>
      <c r="AC26" s="110">
        <f t="shared" si="6"/>
        <v>0</v>
      </c>
      <c r="AD26" s="120"/>
      <c r="AE26" s="421">
        <f t="shared" si="1"/>
        <v>0.50090949532237306</v>
      </c>
      <c r="AF26" s="420">
        <f t="shared" si="7"/>
        <v>28.700000000000024</v>
      </c>
      <c r="AG26" s="424">
        <f t="shared" si="2"/>
        <v>-0.19842299480555203</v>
      </c>
      <c r="AH26" s="110">
        <f t="shared" si="3"/>
        <v>0</v>
      </c>
      <c r="AI26" s="120"/>
      <c r="AJ26" s="421">
        <f t="shared" si="10"/>
        <v>0.48207739269335426</v>
      </c>
      <c r="AK26" s="420">
        <f t="shared" si="8"/>
        <v>27.621000000000027</v>
      </c>
      <c r="AL26" s="425">
        <f t="shared" si="11"/>
        <v>-1.7627654473740595E-2</v>
      </c>
      <c r="AM26" s="110">
        <f t="shared" si="12"/>
        <v>0</v>
      </c>
      <c r="AN26" s="118"/>
      <c r="AP26" s="204">
        <f t="shared" si="13"/>
        <v>27.941366349487893</v>
      </c>
      <c r="AQ26" s="198">
        <f t="shared" si="14"/>
        <v>0.48766884030451235</v>
      </c>
      <c r="AR26" s="205">
        <f t="shared" si="15"/>
        <v>346.61255702788958</v>
      </c>
      <c r="AS26" s="206">
        <f t="shared" si="16"/>
        <v>347.29310539287849</v>
      </c>
      <c r="AT26" s="207">
        <f t="shared" si="17"/>
        <v>346.10857797638329</v>
      </c>
      <c r="AU26" s="205">
        <f t="shared" si="18"/>
        <v>13.387442972110421</v>
      </c>
      <c r="AV26" s="206">
        <f t="shared" si="18"/>
        <v>12.706894607121512</v>
      </c>
      <c r="AW26" s="208">
        <f t="shared" si="19"/>
        <v>13.891422023616713</v>
      </c>
      <c r="AX26" s="203"/>
    </row>
    <row r="27" spans="1:50" ht="20" customHeight="1" thickBot="1">
      <c r="A27" s="10"/>
      <c r="B27" s="22"/>
      <c r="C27" s="295"/>
      <c r="D27" s="22"/>
      <c r="G27" s="237"/>
      <c r="K27" s="368">
        <f>K26+1</f>
        <v>13</v>
      </c>
      <c r="L27" s="369">
        <f>_xlfn.DAYS(G20,P22)-0.5+K27/24</f>
        <v>7763.041666666667</v>
      </c>
      <c r="M27" s="370">
        <f>0.0167089-(0.000042/36525)*L27</f>
        <v>1.6699973299110198E-2</v>
      </c>
      <c r="N27" s="371">
        <f>23+26/60+21/3600-(46.82/3600/36525)*L27</f>
        <v>23.436402459420233</v>
      </c>
      <c r="O27" s="371">
        <f>282.94+(1.7192/36525)*L27</f>
        <v>283.30539962308922</v>
      </c>
      <c r="P27" s="372">
        <f>280.4656+(36000.769/36525)*L27</f>
        <v>7932.0869491866306</v>
      </c>
      <c r="Q27" s="341"/>
      <c r="R27" s="344"/>
      <c r="U27" s="452" t="s">
        <v>135</v>
      </c>
      <c r="V27" s="449">
        <f t="shared" si="20"/>
        <v>84.485532049925098</v>
      </c>
      <c r="W27" s="450">
        <f>PI()/2-W25</f>
        <v>1.4745507045703872</v>
      </c>
      <c r="X27" s="495"/>
      <c r="Z27" s="421">
        <f t="shared" si="0"/>
        <v>0.75049157835756175</v>
      </c>
      <c r="AA27" s="418">
        <f t="shared" si="5"/>
        <v>43</v>
      </c>
      <c r="AB27" s="423">
        <f t="shared" si="9"/>
        <v>-1.3898668028187315</v>
      </c>
      <c r="AC27" s="110">
        <f t="shared" si="6"/>
        <v>0</v>
      </c>
      <c r="AD27" s="120"/>
      <c r="AE27" s="421">
        <f t="shared" si="1"/>
        <v>0.50265482457436739</v>
      </c>
      <c r="AF27" s="420">
        <f t="shared" si="7"/>
        <v>28.800000000000026</v>
      </c>
      <c r="AG27" s="424">
        <f t="shared" si="2"/>
        <v>-0.22015185178215901</v>
      </c>
      <c r="AH27" s="110">
        <f t="shared" si="3"/>
        <v>0</v>
      </c>
      <c r="AI27" s="120"/>
      <c r="AJ27" s="421">
        <f t="shared" si="10"/>
        <v>0.48219956574099387</v>
      </c>
      <c r="AK27" s="420">
        <f t="shared" si="8"/>
        <v>27.628000000000029</v>
      </c>
      <c r="AL27" s="425">
        <f t="shared" si="11"/>
        <v>-1.892611482281481E-2</v>
      </c>
      <c r="AM27" s="110">
        <f t="shared" si="12"/>
        <v>0</v>
      </c>
      <c r="AN27" s="118"/>
      <c r="AP27" s="204">
        <f t="shared" si="13"/>
        <v>27.916366349487895</v>
      </c>
      <c r="AQ27" s="198">
        <f t="shared" si="14"/>
        <v>0.4872325079915138</v>
      </c>
      <c r="AR27" s="205">
        <f t="shared" si="15"/>
        <v>346.65451110882236</v>
      </c>
      <c r="AS27" s="206">
        <f t="shared" si="16"/>
        <v>347.26377809758998</v>
      </c>
      <c r="AT27" s="207">
        <f t="shared" si="17"/>
        <v>346.1521371937834</v>
      </c>
      <c r="AU27" s="205">
        <f t="shared" si="18"/>
        <v>13.345488891177638</v>
      </c>
      <c r="AV27" s="206">
        <f t="shared" si="18"/>
        <v>12.736221902410023</v>
      </c>
      <c r="AW27" s="208">
        <f t="shared" si="19"/>
        <v>13.847862806216597</v>
      </c>
      <c r="AX27" s="203"/>
    </row>
    <row r="28" spans="1:50" ht="20" customHeight="1">
      <c r="C28" s="17"/>
      <c r="D28" s="17"/>
      <c r="E28" s="17"/>
      <c r="F28" s="17"/>
      <c r="G28" s="17"/>
      <c r="H28" s="16"/>
      <c r="U28" s="452" t="s">
        <v>136</v>
      </c>
      <c r="V28" s="449">
        <f t="shared" si="20"/>
        <v>26.292786703614436</v>
      </c>
      <c r="W28" s="450">
        <f>PI()/2-hma</f>
        <v>0.45889569750265835</v>
      </c>
      <c r="X28" s="496"/>
      <c r="Z28" s="421">
        <f t="shared" si="0"/>
        <v>0.78539816339744828</v>
      </c>
      <c r="AA28" s="418">
        <f t="shared" si="5"/>
        <v>45</v>
      </c>
      <c r="AB28" s="423">
        <f t="shared" si="9"/>
        <v>-1.3898668028187315</v>
      </c>
      <c r="AC28" s="110">
        <f t="shared" si="6"/>
        <v>0</v>
      </c>
      <c r="AD28" s="120"/>
      <c r="AE28" s="421">
        <f t="shared" si="1"/>
        <v>0.50440015382636172</v>
      </c>
      <c r="AF28" s="420">
        <f t="shared" si="7"/>
        <v>28.900000000000027</v>
      </c>
      <c r="AG28" s="424">
        <f t="shared" si="2"/>
        <v>-0.24227147023240247</v>
      </c>
      <c r="AH28" s="110">
        <f t="shared" si="3"/>
        <v>0</v>
      </c>
      <c r="AI28" s="120"/>
      <c r="AJ28" s="421">
        <f t="shared" si="10"/>
        <v>0.48232173878863349</v>
      </c>
      <c r="AK28" s="420">
        <f t="shared" si="8"/>
        <v>27.63500000000003</v>
      </c>
      <c r="AL28" s="425">
        <f t="shared" si="11"/>
        <v>-2.0225938360910689E-2</v>
      </c>
      <c r="AM28" s="110">
        <f t="shared" si="12"/>
        <v>0</v>
      </c>
      <c r="AN28" s="88"/>
      <c r="AP28" s="204">
        <f t="shared" si="13"/>
        <v>27.891366349487896</v>
      </c>
      <c r="AQ28" s="198">
        <f t="shared" si="14"/>
        <v>0.48679617567851524</v>
      </c>
      <c r="AR28" s="205">
        <f t="shared" si="15"/>
        <v>346.69628233107488</v>
      </c>
      <c r="AS28" s="206">
        <f t="shared" si="16"/>
        <v>347.23453694188868</v>
      </c>
      <c r="AT28" s="207">
        <f t="shared" si="17"/>
        <v>346.19549707820039</v>
      </c>
      <c r="AU28" s="205">
        <f t="shared" si="18"/>
        <v>13.303717668925117</v>
      </c>
      <c r="AV28" s="206">
        <f t="shared" si="18"/>
        <v>12.765463058111322</v>
      </c>
      <c r="AW28" s="208">
        <f t="shared" si="19"/>
        <v>13.80450292179961</v>
      </c>
      <c r="AX28" s="203"/>
    </row>
    <row r="29" spans="1:50" ht="20" customHeight="1" thickBot="1">
      <c r="B29" s="296" t="s">
        <v>102</v>
      </c>
      <c r="E29" s="231"/>
      <c r="F29" s="48"/>
      <c r="G29" s="303" t="s">
        <v>103</v>
      </c>
      <c r="H29" s="232">
        <v>1</v>
      </c>
      <c r="S29" s="235"/>
      <c r="U29" s="453" t="s">
        <v>123</v>
      </c>
      <c r="V29" s="449">
        <f t="shared" si="20"/>
        <v>29.387179136794252</v>
      </c>
      <c r="W29" s="450">
        <f>PI()/2-hmb</f>
        <v>0.51290303381044478</v>
      </c>
      <c r="X29" s="495"/>
      <c r="Z29" s="421">
        <f t="shared" si="0"/>
        <v>0.82030474843733492</v>
      </c>
      <c r="AA29" s="418">
        <f t="shared" si="5"/>
        <v>47</v>
      </c>
      <c r="AB29" s="423">
        <f>IFERROR(ABS((DEGREES(ACOS((SIN(hma)-SIN(deka)*SIN(Z29))/(COS(deka)*COS(Z29)))+IF(EW=TRUE,1,-1)*ACOS((SIN(hmb)-SIN(dekb)*SIN(Z29))/(COS(dekb)*COS(Z29)))))/15)-dt,-$AB$8)</f>
        <v>-1.3898668028187315</v>
      </c>
      <c r="AC29" s="110">
        <f t="shared" si="6"/>
        <v>0</v>
      </c>
      <c r="AD29" s="120"/>
      <c r="AE29" s="421">
        <f t="shared" si="1"/>
        <v>0.50614548307835605</v>
      </c>
      <c r="AF29" s="420">
        <f t="shared" si="7"/>
        <v>29.000000000000028</v>
      </c>
      <c r="AG29" s="424">
        <f t="shared" si="2"/>
        <v>-0.26479819318109676</v>
      </c>
      <c r="AH29" s="110">
        <f t="shared" si="3"/>
        <v>0</v>
      </c>
      <c r="AI29" s="120"/>
      <c r="AJ29" s="421">
        <f t="shared" si="10"/>
        <v>0.48244391183627311</v>
      </c>
      <c r="AK29" s="420">
        <f t="shared" si="8"/>
        <v>27.642000000000031</v>
      </c>
      <c r="AL29" s="425">
        <f t="shared" si="11"/>
        <v>-2.1527127964199089E-2</v>
      </c>
      <c r="AM29" s="110">
        <f t="shared" si="12"/>
        <v>0</v>
      </c>
      <c r="AN29" s="88"/>
      <c r="AP29" s="204">
        <f t="shared" si="13"/>
        <v>27.866366349487897</v>
      </c>
      <c r="AQ29" s="198">
        <f t="shared" si="14"/>
        <v>0.48635984336551669</v>
      </c>
      <c r="AR29" s="205">
        <f t="shared" si="15"/>
        <v>346.73787232222065</v>
      </c>
      <c r="AS29" s="206">
        <f t="shared" si="16"/>
        <v>347.20538151522476</v>
      </c>
      <c r="AT29" s="207">
        <f t="shared" si="17"/>
        <v>346.23865953038194</v>
      </c>
      <c r="AU29" s="205">
        <f t="shared" si="18"/>
        <v>13.262127677779347</v>
      </c>
      <c r="AV29" s="206">
        <f t="shared" si="18"/>
        <v>12.794618484775242</v>
      </c>
      <c r="AW29" s="208">
        <f t="shared" si="19"/>
        <v>13.761340469618062</v>
      </c>
      <c r="AX29" s="203"/>
    </row>
    <row r="30" spans="1:50" ht="20" customHeight="1" thickBot="1">
      <c r="H30" s="16"/>
      <c r="K30" s="283" t="s">
        <v>45</v>
      </c>
      <c r="L30" s="284" t="s">
        <v>46</v>
      </c>
      <c r="M30" s="285" t="s">
        <v>47</v>
      </c>
      <c r="N30" s="286" t="s">
        <v>48</v>
      </c>
      <c r="O30" s="279" t="s">
        <v>49</v>
      </c>
      <c r="P30" s="279" t="s">
        <v>50</v>
      </c>
      <c r="Q30" s="287" t="s">
        <v>111</v>
      </c>
      <c r="R30" s="288" t="s">
        <v>112</v>
      </c>
      <c r="U30" s="451" t="s">
        <v>137</v>
      </c>
      <c r="V30" s="449">
        <f t="shared" si="20"/>
        <v>35.069599568289476</v>
      </c>
      <c r="W30" s="450">
        <f>grtb-grta</f>
        <v>0.61207997982263329</v>
      </c>
      <c r="X30" s="496"/>
      <c r="Z30" s="421">
        <f t="shared" si="0"/>
        <v>0.85521133347722145</v>
      </c>
      <c r="AA30" s="418">
        <f t="shared" si="5"/>
        <v>49</v>
      </c>
      <c r="AB30" s="423">
        <f t="shared" si="9"/>
        <v>-1.3898668028187315</v>
      </c>
      <c r="AC30" s="110">
        <f t="shared" si="6"/>
        <v>0</v>
      </c>
      <c r="AD30" s="120"/>
      <c r="AE30" s="421">
        <f t="shared" si="1"/>
        <v>0.50789081233035038</v>
      </c>
      <c r="AF30" s="420">
        <f t="shared" si="7"/>
        <v>29.10000000000003</v>
      </c>
      <c r="AG30" s="424">
        <f t="shared" si="2"/>
        <v>-0.28774970832417734</v>
      </c>
      <c r="AH30" s="110"/>
      <c r="AI30" s="120"/>
      <c r="AJ30" s="421">
        <f t="shared" si="10"/>
        <v>0.48246136512879306</v>
      </c>
      <c r="AK30" s="420">
        <f>IF($C$8="N",AK29+0.001,IF($C$8="S",AK29-0.001,#N/A))</f>
        <v>27.643000000000033</v>
      </c>
      <c r="AL30" s="425">
        <f t="shared" si="11"/>
        <v>-2.1713123876998974E-2</v>
      </c>
      <c r="AM30" s="332"/>
      <c r="AN30" s="88"/>
      <c r="AP30" s="204">
        <f t="shared" si="13"/>
        <v>27.841366349487899</v>
      </c>
      <c r="AQ30" s="198">
        <f t="shared" si="14"/>
        <v>0.48592351105251813</v>
      </c>
      <c r="AR30" s="205">
        <f t="shared" si="15"/>
        <v>346.7792826843347</v>
      </c>
      <c r="AS30" s="206">
        <f t="shared" si="16"/>
        <v>347.17631141058644</v>
      </c>
      <c r="AT30" s="207">
        <f t="shared" si="17"/>
        <v>346.2816264192694</v>
      </c>
      <c r="AU30" s="205">
        <f t="shared" si="18"/>
        <v>13.220717315665297</v>
      </c>
      <c r="AV30" s="206">
        <f t="shared" si="18"/>
        <v>12.823688589413564</v>
      </c>
      <c r="AW30" s="208">
        <f t="shared" si="19"/>
        <v>13.718373580730599</v>
      </c>
      <c r="AX30" s="203"/>
    </row>
    <row r="31" spans="1:50" ht="20" customHeight="1" thickBot="1">
      <c r="I31" s="8"/>
      <c r="K31" s="373">
        <f>RADIANS((P24-O24)-360*INT((P24-O24)/360))</f>
        <v>1.547380108682517</v>
      </c>
      <c r="L31" s="374">
        <f>RADIANS(N24)</f>
        <v>0.40904238851620994</v>
      </c>
      <c r="M31" s="374">
        <f>RADIANS(P24-360*INT(P24/360))</f>
        <v>0.20880671091522737</v>
      </c>
      <c r="N31" s="354">
        <f>RADIANS((P24+O31)-360*INT((P24+O31)/360))</f>
        <v>0.24220761743652827</v>
      </c>
      <c r="O31" s="374">
        <f>DEGREES((2*M24-M24^3/4+5*M24^5/96)*SIN(K31)+(5*M24^2/4-11*M24^4/24)*SIN(2*K31)+(13*M24^3/12-43*M24^5/64)*SIN(3*K31)+SIN(4*K31)*103*M24^4/96+1097*M24^5*SIN(5*K31)/960)</f>
        <v>1.9137309755811676</v>
      </c>
      <c r="P31" s="354">
        <f>DEGREES(ATAN((TAN(M31)-TAN(N31)*COS(L31))/(1+TAN(M31)*TAN(N31)*COS(L31))))</f>
        <v>-0.80801060217771281</v>
      </c>
      <c r="Q31" s="375">
        <f>IF((15*(K24+12)+P31)&gt;360,15*(K24-12)+P31,15*(K24+12)+P31)</f>
        <v>329.19198939782228</v>
      </c>
      <c r="R31" s="376">
        <f>DEGREES(ASIN(SIN(RADIANS(N24))*SIN(N31)))</f>
        <v>5.4740157469548301</v>
      </c>
      <c r="U31" s="459" t="s">
        <v>138</v>
      </c>
      <c r="V31" s="460">
        <f t="shared" si="20"/>
        <v>34.903217647240737</v>
      </c>
      <c r="W31" s="461">
        <f>ACOS(COS(W26)*COS(W27)+SIN(W26)*SIN(W27)*COS(W30))</f>
        <v>0.60917606748453956</v>
      </c>
      <c r="X31" s="497"/>
      <c r="Z31" s="421">
        <f t="shared" si="0"/>
        <v>0.89011791851710809</v>
      </c>
      <c r="AA31" s="418">
        <f t="shared" si="5"/>
        <v>51</v>
      </c>
      <c r="AB31" s="423">
        <f t="shared" si="9"/>
        <v>-1.3898668028187315</v>
      </c>
      <c r="AC31" s="110">
        <f t="shared" si="6"/>
        <v>0</v>
      </c>
      <c r="AD31" s="120"/>
      <c r="AE31" s="112"/>
      <c r="AF31" s="112"/>
      <c r="AG31" s="101"/>
      <c r="AH31" s="101"/>
      <c r="AI31" s="120"/>
      <c r="AJ31" s="112"/>
      <c r="AK31" s="112"/>
      <c r="AL31" s="101"/>
      <c r="AM31" s="101"/>
      <c r="AP31" s="204">
        <f t="shared" si="13"/>
        <v>27.8163663494879</v>
      </c>
      <c r="AQ31" s="198">
        <f t="shared" si="14"/>
        <v>0.48548717873951958</v>
      </c>
      <c r="AR31" s="205">
        <f t="shared" si="15"/>
        <v>346.82051499455451</v>
      </c>
      <c r="AS31" s="206">
        <f t="shared" si="16"/>
        <v>347.14732622445666</v>
      </c>
      <c r="AT31" s="207">
        <f t="shared" si="17"/>
        <v>346.32439958274529</v>
      </c>
      <c r="AU31" s="205">
        <f t="shared" si="18"/>
        <v>13.179485005445486</v>
      </c>
      <c r="AV31" s="206">
        <f t="shared" si="18"/>
        <v>12.852673775543337</v>
      </c>
      <c r="AW31" s="208">
        <f t="shared" si="19"/>
        <v>13.675600417254714</v>
      </c>
      <c r="AX31" s="203"/>
    </row>
    <row r="32" spans="1:50" ht="20" customHeight="1" thickBot="1">
      <c r="I32" s="8"/>
      <c r="J32" s="8"/>
      <c r="K32" s="377">
        <f>RADIANS((P25-O25)-360*INT((P25-O25)/360))</f>
        <v>1.5480968574237726</v>
      </c>
      <c r="L32" s="378">
        <f>RADIANS(N25)</f>
        <v>0.40904238825726658</v>
      </c>
      <c r="M32" s="378">
        <f>RADIANS(P25-360*INT(P25/360))</f>
        <v>0.20952349388611521</v>
      </c>
      <c r="N32" s="359">
        <f>RADIANS((P25+O32)-360*INT((P25+O32)/360))</f>
        <v>0.24292445257158896</v>
      </c>
      <c r="O32" s="378">
        <f>DEGREES((2*M25-M25^3/4+5*M25^5/96)*SIN(K32)+(5*M25^2/4-11*M25^4/24)*SIN(2*K32)+(13*M25^3/12-43*M25^5/64)*SIN(3*K32)+SIN(4*K32)*103*M25^4/96+1097*M25^5*SIN(5*K32)/960)</f>
        <v>1.9137339643681566</v>
      </c>
      <c r="P32" s="359">
        <f>DEGREES(ATAN((TAN(M32)-TAN(N32)*COS(L32))/(1+TAN(M32)*TAN(N32)*COS(L32))))</f>
        <v>-0.80497235444324966</v>
      </c>
      <c r="Q32" s="379">
        <f>IF((15*(K25+12)+P32)&gt;360,15*(K25-12)+P32,15*(K25+12)+P32)</f>
        <v>344.19502764555676</v>
      </c>
      <c r="R32" s="380">
        <f>DEGREES(ASIN(SIN(RADIANS(N25))*SIN(N32)))</f>
        <v>5.4899458351373021</v>
      </c>
      <c r="U32" s="464" t="s">
        <v>139</v>
      </c>
      <c r="V32" s="465">
        <f>DEGREES(W32)</f>
        <v>88.207496553379087</v>
      </c>
      <c r="W32" s="466">
        <f>ACOS((COS(W27)-COS(W26)*COS(W31))/SIN(W26)/SIN(W31))</f>
        <v>1.5395112397980153</v>
      </c>
      <c r="X32" s="498"/>
      <c r="Z32" s="421">
        <f t="shared" si="0"/>
        <v>0.92502450355699462</v>
      </c>
      <c r="AA32" s="418">
        <f t="shared" si="5"/>
        <v>53</v>
      </c>
      <c r="AB32" s="423">
        <f t="shared" si="9"/>
        <v>-1.3898668028187315</v>
      </c>
      <c r="AC32" s="110">
        <f t="shared" si="6"/>
        <v>0</v>
      </c>
      <c r="AD32" s="121"/>
      <c r="AE32" s="86" t="s">
        <v>73</v>
      </c>
      <c r="AF32" s="119"/>
      <c r="AG32" s="135"/>
      <c r="AH32" s="136"/>
      <c r="AI32" s="120"/>
      <c r="AJ32" s="109" t="s">
        <v>55</v>
      </c>
      <c r="AL32" s="77"/>
      <c r="AM32" s="346"/>
      <c r="AP32" s="204">
        <f t="shared" si="13"/>
        <v>27.791366349487902</v>
      </c>
      <c r="AQ32" s="198">
        <f t="shared" si="14"/>
        <v>0.48505084642652102</v>
      </c>
      <c r="AR32" s="205">
        <f t="shared" si="15"/>
        <v>346.86157080562612</v>
      </c>
      <c r="AS32" s="206">
        <f t="shared" si="16"/>
        <v>347.11842555677151</v>
      </c>
      <c r="AT32" s="207">
        <f t="shared" si="17"/>
        <v>346.36698082835824</v>
      </c>
      <c r="AU32" s="205">
        <f t="shared" si="18"/>
        <v>13.138429194373884</v>
      </c>
      <c r="AV32" s="206">
        <f t="shared" si="18"/>
        <v>12.881574443228487</v>
      </c>
      <c r="AW32" s="208">
        <f t="shared" si="19"/>
        <v>13.633019171641763</v>
      </c>
      <c r="AX32" s="203"/>
    </row>
    <row r="33" spans="2:50" ht="20" customHeight="1" thickBot="1">
      <c r="H33" s="16"/>
      <c r="I33" s="8"/>
      <c r="J33" s="8"/>
      <c r="K33" s="381">
        <f>RADIANS((P26-O26)-360*INT((P26-O26)/360))</f>
        <v>1.5488136061650442</v>
      </c>
      <c r="L33" s="382">
        <f>RADIANS(N26)</f>
        <v>0.40904238799832321</v>
      </c>
      <c r="M33" s="382">
        <f>RADIANS(P26-360*INT(P26/360))</f>
        <v>0.21024027685703481</v>
      </c>
      <c r="N33" s="364">
        <f>RADIANS((P26+O33)-360*INT((P26+O33)/360))</f>
        <v>0.24364127054399826</v>
      </c>
      <c r="O33" s="382">
        <f>DEGREES((2*M26-M26^3/4+5*M26^5/96)*SIN(K33)+(5*M26^2/4-11*M26^4/24)*SIN(2*K33)+(13*M26^3/12-43*M26^5/64)*SIN(3*K33)+SIN(4*K33)*103*M26^4/96+1097*M26^5*SIN(5*K33)/960)</f>
        <v>1.9137359698056926</v>
      </c>
      <c r="P33" s="364">
        <f>DEGREES(ATAN((TAN(M33)-TAN(N33)*COS(L33))/(1+TAN(M33)*TAN(N33)*COS(L33))))</f>
        <v>-0.80193522852418608</v>
      </c>
      <c r="Q33" s="383">
        <f>IF((15*(K26+12)+P33)&gt;360,15*(K26-12)+P33,15*(K26+12)+P33)</f>
        <v>359.1980647714758</v>
      </c>
      <c r="R33" s="384">
        <f>DEGREES(ASIN(SIN(RADIANS(N26))*SIN(N33)))</f>
        <v>5.5058731379201573</v>
      </c>
      <c r="U33" s="454" t="s">
        <v>140</v>
      </c>
      <c r="V33" s="449">
        <f>DEGREES(W33)</f>
        <v>57.535043452467505</v>
      </c>
      <c r="W33" s="450">
        <f>ACOS((COS(W29)-COS(W28)*COS(W31))/SIN(W28)/SIN(W31))</f>
        <v>1.0041759435235635</v>
      </c>
      <c r="X33" s="499"/>
      <c r="Z33" s="421">
        <f t="shared" si="0"/>
        <v>0.95993108859688125</v>
      </c>
      <c r="AA33" s="418">
        <f t="shared" si="5"/>
        <v>55</v>
      </c>
      <c r="AB33" s="423">
        <f t="shared" si="9"/>
        <v>-1.3898668028187315</v>
      </c>
      <c r="AC33" s="110">
        <f t="shared" si="6"/>
        <v>0</v>
      </c>
      <c r="AD33" s="121"/>
      <c r="AE33" s="93" t="s">
        <v>34</v>
      </c>
      <c r="AF33" s="94" t="s">
        <v>12</v>
      </c>
      <c r="AG33" s="95" t="s">
        <v>35</v>
      </c>
      <c r="AH33" s="334" t="s">
        <v>36</v>
      </c>
      <c r="AI33" s="121"/>
      <c r="AJ33" s="97" t="s">
        <v>36</v>
      </c>
      <c r="AN33" s="88"/>
      <c r="AP33" s="204">
        <f t="shared" si="13"/>
        <v>27.766366349487903</v>
      </c>
      <c r="AQ33" s="198">
        <f t="shared" si="14"/>
        <v>0.48461451411352247</v>
      </c>
      <c r="AR33" s="205">
        <f t="shared" si="15"/>
        <v>346.90245164643443</v>
      </c>
      <c r="AS33" s="206">
        <f t="shared" si="16"/>
        <v>347.08960901087767</v>
      </c>
      <c r="AT33" s="207">
        <f t="shared" si="17"/>
        <v>346.40937193402652</v>
      </c>
      <c r="AU33" s="205">
        <f t="shared" si="18"/>
        <v>13.097548353565571</v>
      </c>
      <c r="AV33" s="206">
        <f t="shared" si="18"/>
        <v>12.910390989122334</v>
      </c>
      <c r="AW33" s="208">
        <f t="shared" si="19"/>
        <v>13.590628065973476</v>
      </c>
      <c r="AX33" s="203"/>
    </row>
    <row r="34" spans="2:50" ht="20" customHeight="1" thickBot="1">
      <c r="I34" s="8"/>
      <c r="J34" s="8"/>
      <c r="K34" s="385">
        <f>RADIANS((P27-O27)-360*INT((P27-O27)/360))</f>
        <v>1.5495303549063317</v>
      </c>
      <c r="L34" s="386">
        <f>RADIANS(N27)</f>
        <v>0.40904238773937979</v>
      </c>
      <c r="M34" s="386">
        <f>RADIANS(P27-360*INT(P27/360))</f>
        <v>0.2109570598279544</v>
      </c>
      <c r="N34" s="369">
        <f>RADIANS((P27+O34)-360*INT((P27+O34)/360))</f>
        <v>0.24435807135447044</v>
      </c>
      <c r="O34" s="386">
        <f>DEGREES((2*M27-M27^3/4+5*M27^5/96)*SIN(K34)+(5*M27^2/4-11*M27^4/24)*SIN(2*K34)+(13*M27^3/12-43*M27^5/64)*SIN(3*K34)+SIN(4*K34)*103*M27^4/96+1097*M27^5*SIN(5*K34)/960)</f>
        <v>1.9137369919368972</v>
      </c>
      <c r="P34" s="369">
        <f>DEGREES(ATAN((TAN(M34)-TAN(N34)*COS(L34))/(1+TAN(M34)*TAN(N34)*COS(L34))))</f>
        <v>-0.79889923004755803</v>
      </c>
      <c r="Q34" s="387">
        <f>IF((15*(K27+12)+P34)&gt;360,15*(K27-12)+P34,15*(K27+12)+P34)</f>
        <v>14.201100769952442</v>
      </c>
      <c r="R34" s="388">
        <f>DEGREES(ASIN(SIN(RADIANS(N27))*SIN(N34)))</f>
        <v>5.5217976483458342</v>
      </c>
      <c r="U34" s="468" t="s">
        <v>125</v>
      </c>
      <c r="V34" s="482">
        <f>V32-V33</f>
        <v>30.672453100911582</v>
      </c>
      <c r="W34" s="483">
        <f>W32-W33</f>
        <v>0.53533529627445176</v>
      </c>
      <c r="X34" s="469" t="s">
        <v>126</v>
      </c>
      <c r="Z34" s="421">
        <f t="shared" si="0"/>
        <v>0.99483767363676789</v>
      </c>
      <c r="AA34" s="418">
        <f t="shared" si="5"/>
        <v>57</v>
      </c>
      <c r="AB34" s="423">
        <f t="shared" si="9"/>
        <v>-1.3898668028187315</v>
      </c>
      <c r="AC34" s="110">
        <f t="shared" si="6"/>
        <v>0</v>
      </c>
      <c r="AD34" s="121"/>
      <c r="AE34" s="132"/>
      <c r="AF34" s="133"/>
      <c r="AG34" s="134"/>
      <c r="AH34" s="333"/>
      <c r="AI34" s="121"/>
      <c r="AJ34" s="98" t="b">
        <v>1</v>
      </c>
      <c r="AN34" s="88"/>
      <c r="AP34" s="204">
        <f t="shared" si="13"/>
        <v>27.741366349487905</v>
      </c>
      <c r="AQ34" s="198">
        <f t="shared" si="14"/>
        <v>0.48417818180052391</v>
      </c>
      <c r="AR34" s="205">
        <f t="shared" si="15"/>
        <v>346.9431590225185</v>
      </c>
      <c r="AS34" s="206">
        <f t="shared" si="16"/>
        <v>347.06087619349216</v>
      </c>
      <c r="AT34" s="207">
        <f t="shared" si="17"/>
        <v>346.45157464872</v>
      </c>
      <c r="AU34" s="205">
        <f t="shared" si="18"/>
        <v>13.0568409774815</v>
      </c>
      <c r="AV34" s="206">
        <f t="shared" si="18"/>
        <v>12.939123806507837</v>
      </c>
      <c r="AW34" s="208">
        <f t="shared" si="19"/>
        <v>13.548425351280002</v>
      </c>
      <c r="AX34" s="203"/>
    </row>
    <row r="35" spans="2:50" ht="20" customHeight="1">
      <c r="B35" s="33"/>
      <c r="I35" s="8"/>
      <c r="J35" s="8"/>
      <c r="O35" s="304"/>
      <c r="U35" s="464" t="s">
        <v>141</v>
      </c>
      <c r="V35" s="465">
        <f>DEGREES(W35)</f>
        <v>88.325872035251905</v>
      </c>
      <c r="W35" s="466">
        <f>ACOS((COS(W26)-COS(W27)*COS(W31))/SIN(W27)/SIN(W31))</f>
        <v>1.5415772817103308</v>
      </c>
      <c r="X35" s="500"/>
      <c r="Z35" s="421">
        <f t="shared" si="0"/>
        <v>1.0297442586766545</v>
      </c>
      <c r="AA35" s="418">
        <f t="shared" si="5"/>
        <v>59</v>
      </c>
      <c r="AB35" s="423">
        <f t="shared" si="9"/>
        <v>-1.3898668028187315</v>
      </c>
      <c r="AC35" s="110">
        <f t="shared" si="6"/>
        <v>0</v>
      </c>
      <c r="AD35" s="121"/>
      <c r="AE35" s="421">
        <f>RADIANS(AF35)</f>
        <v>0.46251225177849753</v>
      </c>
      <c r="AF35" s="419">
        <f>V6+IF(C8="N",-1.2,IF(C8="S",1.2,90))</f>
        <v>26.500000000000011</v>
      </c>
      <c r="AG35" s="424">
        <f>ABS((DEGREES(ACOS((SIN(hmav)-SIN(deka)*SIN(AE35))/(COS(deka)*COS(AE35)))+IF(EW=TRUE,1,-1)*ACOS((SIN(hmb)-SIN(dekb)*SIN(AE35))/(COS(dekb)*COS(AE35)))))/15)-dt</f>
        <v>0.17445186084053077</v>
      </c>
      <c r="AH35" s="110">
        <f t="shared" si="3"/>
        <v>0</v>
      </c>
      <c r="AI35" s="121"/>
      <c r="AN35" s="88"/>
      <c r="AP35" s="204">
        <f t="shared" si="13"/>
        <v>27.716366349487906</v>
      </c>
      <c r="AQ35" s="198">
        <f t="shared" si="14"/>
        <v>0.48374184948752535</v>
      </c>
      <c r="AR35" s="205">
        <f t="shared" si="15"/>
        <v>346.98369441657292</v>
      </c>
      <c r="AS35" s="206">
        <f t="shared" si="16"/>
        <v>347.0322267146617</v>
      </c>
      <c r="AT35" s="207">
        <f t="shared" si="17"/>
        <v>346.49359069312266</v>
      </c>
      <c r="AU35" s="205">
        <f t="shared" si="18"/>
        <v>13.016305583427084</v>
      </c>
      <c r="AV35" s="206">
        <f t="shared" si="18"/>
        <v>12.967773285338296</v>
      </c>
      <c r="AW35" s="208">
        <f t="shared" si="19"/>
        <v>13.506409306877345</v>
      </c>
      <c r="AX35" s="203"/>
    </row>
    <row r="36" spans="2:50" ht="20" customHeight="1" thickBot="1">
      <c r="B36" s="33"/>
      <c r="I36" s="8"/>
      <c r="J36" s="8"/>
      <c r="K36" s="233" t="s">
        <v>108</v>
      </c>
      <c r="L36" s="235"/>
      <c r="M36" s="235"/>
      <c r="N36" s="233" t="s">
        <v>110</v>
      </c>
      <c r="O36" s="304"/>
      <c r="U36" s="454" t="s">
        <v>142</v>
      </c>
      <c r="V36" s="449">
        <f>DEGREES(W36)</f>
        <v>49.607065145101416</v>
      </c>
      <c r="W36" s="450">
        <f>ACOS((COS(W28)-COS(W29)*COS(W31))/SIN(W29)/SIN(W31))</f>
        <v>0.86580661903333833</v>
      </c>
      <c r="X36" s="501"/>
      <c r="Z36" s="421">
        <f t="shared" si="0"/>
        <v>1.064650843716541</v>
      </c>
      <c r="AA36" s="418">
        <f t="shared" si="5"/>
        <v>61</v>
      </c>
      <c r="AB36" s="423">
        <f t="shared" si="9"/>
        <v>-1.3898668028187315</v>
      </c>
      <c r="AC36" s="110">
        <f t="shared" si="6"/>
        <v>0</v>
      </c>
      <c r="AD36" s="121"/>
      <c r="AE36" s="421">
        <f>RADIANS(AF36)</f>
        <v>0.46425758103049186</v>
      </c>
      <c r="AF36" s="420">
        <f t="shared" ref="AF36:AF59" si="21">IF(AF35&gt;77,78,IF(AF35&lt;-77,-78,IF($C$8="N",AF35+0.1,IF($C$8="S",AF35-0.1,#N/A))))</f>
        <v>26.600000000000012</v>
      </c>
      <c r="AG36" s="424">
        <f t="shared" ref="AG36:AG59" si="22">IFERROR(ABS((DEGREES(ACOS((SIN(hmav)-SIN(deka)*SIN(AE36))/(COS(deka)*COS(AE36)))+IF(EW=TRUE,1,-1)*ACOS((SIN(hmb)-SIN(dekb)*SIN(AE36))/(COS(dekb)*COS(AE36)))))/15)-dt,-$AG$35)</f>
        <v>0.15848693787664514</v>
      </c>
      <c r="AH36" s="110">
        <f t="shared" si="3"/>
        <v>0</v>
      </c>
      <c r="AI36" s="121"/>
      <c r="AN36" s="88"/>
      <c r="AP36" s="204">
        <f>AP37+$AV$13</f>
        <v>27.691366349487907</v>
      </c>
      <c r="AQ36" s="198">
        <f t="shared" si="14"/>
        <v>0.4833055171745268</v>
      </c>
      <c r="AR36" s="205">
        <f t="shared" si="15"/>
        <v>347.02405928893523</v>
      </c>
      <c r="AS36" s="206">
        <f t="shared" si="16"/>
        <v>347.00366018772303</v>
      </c>
      <c r="AT36" s="207">
        <f t="shared" si="17"/>
        <v>346.53542176027514</v>
      </c>
      <c r="AU36" s="205">
        <f t="shared" si="18"/>
        <v>12.975940711064766</v>
      </c>
      <c r="AV36" s="206">
        <f t="shared" si="18"/>
        <v>12.996339812276972</v>
      </c>
      <c r="AW36" s="208">
        <f t="shared" si="19"/>
        <v>13.464578239724858</v>
      </c>
      <c r="AX36" s="203"/>
    </row>
    <row r="37" spans="2:50" ht="20" customHeight="1" thickBot="1">
      <c r="B37" s="33"/>
      <c r="J37" s="8"/>
      <c r="K37" s="238" t="s">
        <v>24</v>
      </c>
      <c r="L37" s="245">
        <f>Q32-Q31</f>
        <v>15.00303824773448</v>
      </c>
      <c r="M37" s="246" t="s">
        <v>24</v>
      </c>
      <c r="N37" s="245">
        <f>R32-R31</f>
        <v>1.5930088182471991E-2</v>
      </c>
      <c r="U37" s="467" t="s">
        <v>125</v>
      </c>
      <c r="V37" s="481">
        <f>V35-V36</f>
        <v>38.718806890150489</v>
      </c>
      <c r="W37" s="484">
        <f>W35-W36</f>
        <v>0.67577066267699248</v>
      </c>
      <c r="X37" s="474" t="s">
        <v>127</v>
      </c>
      <c r="Z37" s="421">
        <f t="shared" si="0"/>
        <v>1.0995574287564276</v>
      </c>
      <c r="AA37" s="418">
        <f t="shared" si="5"/>
        <v>63</v>
      </c>
      <c r="AB37" s="423">
        <f t="shared" si="9"/>
        <v>-1.3898668028187315</v>
      </c>
      <c r="AC37" s="110">
        <f t="shared" si="6"/>
        <v>0</v>
      </c>
      <c r="AD37" s="121"/>
      <c r="AE37" s="421">
        <f t="shared" ref="AE37:AE59" si="23">RADIANS(AF37)</f>
        <v>0.46600291028248625</v>
      </c>
      <c r="AF37" s="420">
        <f t="shared" si="21"/>
        <v>26.700000000000014</v>
      </c>
      <c r="AG37" s="424">
        <f t="shared" si="22"/>
        <v>0.14231019131873124</v>
      </c>
      <c r="AH37" s="110">
        <f t="shared" si="3"/>
        <v>0</v>
      </c>
      <c r="AI37" s="121"/>
      <c r="AJ37" s="68" t="s">
        <v>56</v>
      </c>
      <c r="AL37" s="28"/>
      <c r="AM37" s="28"/>
      <c r="AN37" s="88"/>
      <c r="AP37" s="209">
        <f>Breite°-vb/2</f>
        <v>27.666366349487909</v>
      </c>
      <c r="AQ37" s="335">
        <f>RADIANS(AP37)</f>
        <v>0.48286918486152824</v>
      </c>
      <c r="AR37" s="336">
        <f t="shared" si="15"/>
        <v>347.06425507805994</v>
      </c>
      <c r="AS37" s="337">
        <f t="shared" si="16"/>
        <v>346.97517622926364</v>
      </c>
      <c r="AT37" s="207">
        <f t="shared" si="17"/>
        <v>346.57706951619912</v>
      </c>
      <c r="AU37" s="336">
        <f t="shared" si="18"/>
        <v>12.935744921940056</v>
      </c>
      <c r="AV37" s="337">
        <f t="shared" si="18"/>
        <v>13.024823770736361</v>
      </c>
      <c r="AW37" s="208">
        <f t="shared" si="19"/>
        <v>13.422930483800883</v>
      </c>
      <c r="AX37" s="203"/>
    </row>
    <row r="38" spans="2:50" ht="20" customHeight="1" thickBot="1">
      <c r="B38" s="33"/>
      <c r="K38" s="239" t="s">
        <v>25</v>
      </c>
      <c r="L38" s="248">
        <f>IF(L37&lt;0,L37+360,IF(L37&gt;360,L37-360,L37))</f>
        <v>15.00303824773448</v>
      </c>
      <c r="M38" s="249"/>
      <c r="N38" s="248"/>
      <c r="U38" s="488" t="s">
        <v>147</v>
      </c>
      <c r="V38" s="489" t="b">
        <f>AND(W34&gt;0,W37&gt;0)</f>
        <v>1</v>
      </c>
      <c r="W38" s="486"/>
      <c r="X38" s="487"/>
      <c r="Z38" s="421">
        <f t="shared" si="0"/>
        <v>1.1344640137963142</v>
      </c>
      <c r="AA38" s="418">
        <f t="shared" si="5"/>
        <v>65</v>
      </c>
      <c r="AB38" s="423">
        <f t="shared" si="9"/>
        <v>-1.3898668028187315</v>
      </c>
      <c r="AC38" s="110">
        <f t="shared" si="6"/>
        <v>0</v>
      </c>
      <c r="AD38" s="121"/>
      <c r="AE38" s="421">
        <f t="shared" si="23"/>
        <v>0.46774823953448058</v>
      </c>
      <c r="AF38" s="420">
        <f t="shared" si="21"/>
        <v>26.800000000000015</v>
      </c>
      <c r="AG38" s="424">
        <f t="shared" si="22"/>
        <v>0.12591652751923688</v>
      </c>
      <c r="AH38" s="110">
        <f t="shared" si="3"/>
        <v>0</v>
      </c>
      <c r="AI38" s="121"/>
      <c r="AJ38" s="102"/>
      <c r="AK38" s="105" t="s">
        <v>37</v>
      </c>
      <c r="AL38" s="407">
        <f>IF(grta+Länge&gt;2*PI(),grta+Länge-2*PI(),IF((grta+Länge)&lt;0,grta+Länge+2*PI(),grta+Länge))</f>
        <v>6.0286660888702315</v>
      </c>
      <c r="AM38" s="103">
        <f>DEGREES(AL38)</f>
        <v>345.41712298590517</v>
      </c>
      <c r="AN38" s="88"/>
      <c r="AP38" s="204">
        <f>AP37-$AV$13</f>
        <v>27.64136634948791</v>
      </c>
      <c r="AQ38" s="198">
        <f t="shared" si="14"/>
        <v>0.48243285254852963</v>
      </c>
      <c r="AR38" s="205">
        <f t="shared" si="15"/>
        <v>347.10428320097975</v>
      </c>
      <c r="AS38" s="206">
        <f t="shared" si="16"/>
        <v>346.94677445908366</v>
      </c>
      <c r="AT38" s="207">
        <f t="shared" si="17"/>
        <v>346.61853560050281</v>
      </c>
      <c r="AU38" s="205">
        <f t="shared" si="18"/>
        <v>12.895716799020249</v>
      </c>
      <c r="AV38" s="206">
        <f t="shared" si="18"/>
        <v>13.053225540916344</v>
      </c>
      <c r="AW38" s="208">
        <f t="shared" si="19"/>
        <v>13.38146439949719</v>
      </c>
      <c r="AX38" s="203"/>
    </row>
    <row r="39" spans="2:50" ht="20" customHeight="1" thickBot="1">
      <c r="K39" s="240" t="s">
        <v>21</v>
      </c>
      <c r="L39" s="252">
        <f>(MINUTE(G13)+SECOND(G13)/60)*L38/60</f>
        <v>3.0339477345418615</v>
      </c>
      <c r="M39" s="253" t="s">
        <v>21</v>
      </c>
      <c r="N39" s="252">
        <f>(MINUTE(G13)+SECOND(G13)/60)*N37/60</f>
        <v>3.2214178324554469E-3</v>
      </c>
      <c r="U39" s="475" t="s">
        <v>149</v>
      </c>
      <c r="V39" s="485">
        <f>IF(_oz2-_oz1+IF(TG&gt;0,1,0)&lt;0,#N/A,_oz2-_oz1+IF(TG&gt;0,1,0))</f>
        <v>9.7395833333333348E-2</v>
      </c>
      <c r="W39" s="490" t="s">
        <v>148</v>
      </c>
      <c r="X39" s="477">
        <f>IF(_oz2&lt;_oz1,1,0)</f>
        <v>0</v>
      </c>
      <c r="Z39" s="421">
        <f t="shared" si="0"/>
        <v>1.1693705988362009</v>
      </c>
      <c r="AA39" s="418">
        <f t="shared" si="5"/>
        <v>67</v>
      </c>
      <c r="AB39" s="423">
        <f t="shared" si="9"/>
        <v>-1.3898668028187315</v>
      </c>
      <c r="AC39" s="110">
        <f t="shared" si="6"/>
        <v>0</v>
      </c>
      <c r="AD39" s="121"/>
      <c r="AE39" s="421">
        <f t="shared" si="23"/>
        <v>0.46949356878647491</v>
      </c>
      <c r="AF39" s="420">
        <f t="shared" si="21"/>
        <v>26.900000000000016</v>
      </c>
      <c r="AG39" s="424">
        <f t="shared" si="22"/>
        <v>0.10930061401649782</v>
      </c>
      <c r="AH39" s="110">
        <f t="shared" si="3"/>
        <v>0</v>
      </c>
      <c r="AI39" s="121"/>
      <c r="AJ39" s="104"/>
      <c r="AK39" s="106" t="s">
        <v>38</v>
      </c>
      <c r="AL39" s="444"/>
      <c r="AM39" s="445">
        <f>IF((_oz2+IF(_oz2&lt;_oz1,1,0)-_oz1)*24&gt;12,24-(_oz2+IF(_oz2&lt;_oz1,1,0)-_oz1)*24,(_oz2+IF(_oz2&lt;_oz1,1,0)-_oz1)*24)</f>
        <v>2.3375000000000004</v>
      </c>
      <c r="AN39" s="88"/>
      <c r="AP39" s="204">
        <f>AP38-$AV$13</f>
        <v>27.616366349487912</v>
      </c>
      <c r="AQ39" s="198">
        <f t="shared" si="14"/>
        <v>0.48199652023553108</v>
      </c>
      <c r="AR39" s="205">
        <f t="shared" si="15"/>
        <v>347.14414505375407</v>
      </c>
      <c r="AS39" s="206">
        <f t="shared" si="16"/>
        <v>346.91845450015751</v>
      </c>
      <c r="AT39" s="207">
        <f t="shared" si="17"/>
        <v>346.65982162697009</v>
      </c>
      <c r="AU39" s="205">
        <f t="shared" si="18"/>
        <v>12.855854946245927</v>
      </c>
      <c r="AV39" s="206">
        <f t="shared" si="18"/>
        <v>13.081545499842491</v>
      </c>
      <c r="AW39" s="208">
        <f t="shared" si="19"/>
        <v>13.340178373029914</v>
      </c>
      <c r="AX39" s="203"/>
    </row>
    <row r="40" spans="2:50" ht="20" customHeight="1" thickBot="1">
      <c r="B40" s="33"/>
      <c r="K40" s="241"/>
      <c r="L40" s="255"/>
      <c r="M40" s="255"/>
      <c r="N40" s="255"/>
      <c r="U40" s="471" t="s">
        <v>143</v>
      </c>
      <c r="V40" s="470" t="str">
        <f>IF(OR(V39&lt;0.5,V39&gt;1),IF(W34&lt;0,"W","E"),IF(W34&lt;0,"E","W"))</f>
        <v>E</v>
      </c>
      <c r="W40" s="472" t="s">
        <v>145</v>
      </c>
      <c r="X40" s="473"/>
      <c r="Z40" s="421">
        <f t="shared" ref="Z40:Z59" si="24">RADIANS(AA40)</f>
        <v>1.2042771838760873</v>
      </c>
      <c r="AA40" s="418">
        <f t="shared" si="5"/>
        <v>69</v>
      </c>
      <c r="AB40" s="423">
        <f t="shared" ref="AB40:AB59" si="25">IFERROR(ABS((DEGREES(ACOS((SIN(hma)-SIN(deka)*SIN(Z40))/(COS(deka)*COS(Z40)))+IF(EW=TRUE,1,-1)*ACOS((SIN(hmb)-SIN(dekb)*SIN(Z40))/(COS(dekb)*COS(Z40)))))/15)-dt,-$AB$8)</f>
        <v>-1.3898668028187315</v>
      </c>
      <c r="AC40" s="110">
        <f t="shared" ref="AC40:AC58" si="26">IF(AB40*AB41&lt;0,TRUE,0)</f>
        <v>0</v>
      </c>
      <c r="AD40" s="121"/>
      <c r="AE40" s="421">
        <f t="shared" si="23"/>
        <v>0.4712388980384693</v>
      </c>
      <c r="AF40" s="420">
        <f t="shared" si="21"/>
        <v>27.000000000000018</v>
      </c>
      <c r="AG40" s="424">
        <f t="shared" si="22"/>
        <v>9.2456862731769451E-2</v>
      </c>
      <c r="AH40" s="110">
        <f t="shared" si="3"/>
        <v>0</v>
      </c>
      <c r="AI40" s="121"/>
      <c r="AN40" s="88"/>
      <c r="AP40" s="204">
        <f t="shared" ref="AP40:AP57" si="27">AP39-$AV$13</f>
        <v>27.591366349487913</v>
      </c>
      <c r="AQ40" s="198">
        <f t="shared" si="14"/>
        <v>0.48156018792253252</v>
      </c>
      <c r="AR40" s="205">
        <f t="shared" si="15"/>
        <v>347.18384201190582</v>
      </c>
      <c r="AS40" s="206">
        <f t="shared" si="16"/>
        <v>346.89021597859676</v>
      </c>
      <c r="AT40" s="207">
        <f t="shared" si="17"/>
        <v>346.70092918413133</v>
      </c>
      <c r="AU40" s="205">
        <f t="shared" si="18"/>
        <v>12.816157988094176</v>
      </c>
      <c r="AV40" s="206">
        <f t="shared" si="18"/>
        <v>13.109784021403243</v>
      </c>
      <c r="AW40" s="208">
        <f t="shared" si="19"/>
        <v>13.299070815868674</v>
      </c>
      <c r="AX40" s="203"/>
    </row>
    <row r="41" spans="2:50" ht="20" customHeight="1" thickBot="1">
      <c r="K41" s="242"/>
      <c r="L41" s="256" t="s">
        <v>19</v>
      </c>
      <c r="M41" s="256" t="s">
        <v>9</v>
      </c>
      <c r="N41" s="257" t="s">
        <v>10</v>
      </c>
      <c r="R41" s="27"/>
      <c r="U41" s="455" t="s">
        <v>144</v>
      </c>
      <c r="V41" s="456" t="str">
        <f>IF(OR(V39&lt;0.5,V39&gt;1),IF(W37&lt;0,"E","W"),IF(W37&lt;0,"W","E"))</f>
        <v>W</v>
      </c>
      <c r="W41" s="457" t="s">
        <v>146</v>
      </c>
      <c r="X41" s="458"/>
      <c r="Z41" s="421">
        <f t="shared" si="24"/>
        <v>1.2391837689159739</v>
      </c>
      <c r="AA41" s="418">
        <f t="shared" ref="AA41:AA59" si="28">IF(AA40&gt;77,78,IF(AA40&lt;-77,-78,IF($C$8="N",AA40+2,IF($C$8="S",AA40-2,#N/A))))</f>
        <v>71</v>
      </c>
      <c r="AB41" s="423">
        <f t="shared" si="25"/>
        <v>-1.3898668028187315</v>
      </c>
      <c r="AC41" s="110">
        <f t="shared" si="26"/>
        <v>0</v>
      </c>
      <c r="AD41" s="121"/>
      <c r="AE41" s="421">
        <f t="shared" si="23"/>
        <v>0.47298422729046363</v>
      </c>
      <c r="AF41" s="420">
        <f t="shared" si="21"/>
        <v>27.100000000000019</v>
      </c>
      <c r="AG41" s="424">
        <f t="shared" si="22"/>
        <v>7.5379411561179221E-2</v>
      </c>
      <c r="AH41" s="110">
        <f t="shared" si="3"/>
        <v>0</v>
      </c>
      <c r="AI41" s="121"/>
      <c r="AP41" s="204">
        <f t="shared" si="27"/>
        <v>27.566366349487915</v>
      </c>
      <c r="AQ41" s="198">
        <f t="shared" si="14"/>
        <v>0.48112385560953397</v>
      </c>
      <c r="AR41" s="205">
        <f t="shared" si="15"/>
        <v>347.22337543084609</v>
      </c>
      <c r="AS41" s="206">
        <f t="shared" si="16"/>
        <v>346.86205852361343</v>
      </c>
      <c r="AT41" s="207">
        <f t="shared" si="17"/>
        <v>346.74185983581964</v>
      </c>
      <c r="AU41" s="205">
        <f t="shared" si="18"/>
        <v>12.77662456915391</v>
      </c>
      <c r="AV41" s="206">
        <f t="shared" si="18"/>
        <v>13.137941476386573</v>
      </c>
      <c r="AW41" s="208">
        <f t="shared" si="19"/>
        <v>13.258140164180361</v>
      </c>
      <c r="AX41" s="203"/>
    </row>
    <row r="42" spans="2:50" ht="20" customHeight="1">
      <c r="K42" s="243" t="s">
        <v>14</v>
      </c>
      <c r="L42" s="259">
        <f>Q31+L39</f>
        <v>332.22593713236415</v>
      </c>
      <c r="M42" s="259">
        <f>RADIANS(L42)</f>
        <v>5.7984364634834424</v>
      </c>
      <c r="N42" s="245" t="s">
        <v>15</v>
      </c>
      <c r="P42" s="127"/>
      <c r="Q42" s="127"/>
      <c r="R42" s="127"/>
      <c r="Z42" s="421">
        <f t="shared" si="24"/>
        <v>1.2740903539558606</v>
      </c>
      <c r="AA42" s="418">
        <f t="shared" si="28"/>
        <v>73</v>
      </c>
      <c r="AB42" s="423">
        <f t="shared" si="25"/>
        <v>-1.3898668028187315</v>
      </c>
      <c r="AC42" s="110">
        <f t="shared" si="26"/>
        <v>0</v>
      </c>
      <c r="AD42" s="121"/>
      <c r="AE42" s="421">
        <f t="shared" si="23"/>
        <v>0.47472955654245802</v>
      </c>
      <c r="AF42" s="420">
        <f t="shared" si="21"/>
        <v>27.200000000000021</v>
      </c>
      <c r="AG42" s="424">
        <f t="shared" si="22"/>
        <v>5.806210416736679E-2</v>
      </c>
      <c r="AH42" s="110">
        <f t="shared" si="3"/>
        <v>0</v>
      </c>
      <c r="AI42" s="121"/>
      <c r="AP42" s="204">
        <f t="shared" si="27"/>
        <v>27.541366349487916</v>
      </c>
      <c r="AQ42" s="198">
        <f t="shared" si="14"/>
        <v>0.48068752329653541</v>
      </c>
      <c r="AR42" s="205">
        <f t="shared" si="15"/>
        <v>347.26274664628818</v>
      </c>
      <c r="AS42" s="206">
        <f t="shared" si="16"/>
        <v>346.83398176748375</v>
      </c>
      <c r="AT42" s="207">
        <f t="shared" si="17"/>
        <v>346.78261512171025</v>
      </c>
      <c r="AU42" s="205">
        <f t="shared" si="18"/>
        <v>12.737253353711822</v>
      </c>
      <c r="AV42" s="206">
        <f t="shared" si="18"/>
        <v>13.166018232516251</v>
      </c>
      <c r="AW42" s="208">
        <f t="shared" si="19"/>
        <v>13.217384878289749</v>
      </c>
      <c r="AX42" s="203"/>
    </row>
    <row r="43" spans="2:50" ht="20" customHeight="1" thickBot="1">
      <c r="K43" s="244" t="s">
        <v>11</v>
      </c>
      <c r="L43" s="260">
        <f>R31+N39</f>
        <v>5.4772371647872857</v>
      </c>
      <c r="M43" s="260">
        <f>RADIANS(L43)</f>
        <v>9.5595822438137357E-2</v>
      </c>
      <c r="N43" s="252" t="s">
        <v>17</v>
      </c>
      <c r="P43" s="127"/>
      <c r="Q43" s="127"/>
      <c r="R43" s="127"/>
      <c r="Z43" s="421">
        <f t="shared" si="24"/>
        <v>1.3089969389957472</v>
      </c>
      <c r="AA43" s="418">
        <f t="shared" si="28"/>
        <v>75</v>
      </c>
      <c r="AB43" s="423">
        <f t="shared" si="25"/>
        <v>-1.3898668028187315</v>
      </c>
      <c r="AC43" s="110">
        <f t="shared" si="26"/>
        <v>0</v>
      </c>
      <c r="AD43" s="121"/>
      <c r="AE43" s="421">
        <f t="shared" si="23"/>
        <v>0.47647488579445235</v>
      </c>
      <c r="AF43" s="420">
        <f t="shared" si="21"/>
        <v>27.300000000000022</v>
      </c>
      <c r="AG43" s="424">
        <f t="shared" si="22"/>
        <v>4.049846774654231E-2</v>
      </c>
      <c r="AH43" s="110">
        <f t="shared" si="3"/>
        <v>0</v>
      </c>
      <c r="AI43" s="121"/>
      <c r="AP43" s="204">
        <f t="shared" si="27"/>
        <v>27.516366349487917</v>
      </c>
      <c r="AQ43" s="198">
        <f t="shared" si="14"/>
        <v>0.48025119098353686</v>
      </c>
      <c r="AR43" s="205">
        <f t="shared" si="15"/>
        <v>347.30195697464978</v>
      </c>
      <c r="AS43" s="206">
        <f t="shared" si="16"/>
        <v>346.80598534551228</v>
      </c>
      <c r="AT43" s="207">
        <f t="shared" si="17"/>
        <v>346.82319655784516</v>
      </c>
      <c r="AU43" s="205">
        <f t="shared" si="18"/>
        <v>12.698043025350216</v>
      </c>
      <c r="AV43" s="206">
        <f t="shared" si="18"/>
        <v>13.194014654487717</v>
      </c>
      <c r="AW43" s="208">
        <f t="shared" si="19"/>
        <v>13.176803442154835</v>
      </c>
      <c r="AX43" s="203"/>
    </row>
    <row r="44" spans="2:50" ht="20" customHeight="1">
      <c r="P44" s="265"/>
      <c r="Q44" s="265"/>
      <c r="R44" s="265"/>
      <c r="Z44" s="421">
        <f t="shared" si="24"/>
        <v>1.3439035240356338</v>
      </c>
      <c r="AA44" s="418">
        <f t="shared" si="28"/>
        <v>77</v>
      </c>
      <c r="AB44" s="423">
        <f t="shared" si="25"/>
        <v>-1.3898668028187315</v>
      </c>
      <c r="AC44" s="110">
        <f t="shared" si="26"/>
        <v>0</v>
      </c>
      <c r="AD44" s="121"/>
      <c r="AE44" s="421">
        <f t="shared" si="23"/>
        <v>0.47822021504644668</v>
      </c>
      <c r="AF44" s="420">
        <f t="shared" si="21"/>
        <v>27.400000000000023</v>
      </c>
      <c r="AG44" s="424">
        <f t="shared" si="22"/>
        <v>2.2681688512371956E-2</v>
      </c>
      <c r="AH44" s="110">
        <f t="shared" si="3"/>
        <v>0</v>
      </c>
      <c r="AI44" s="121"/>
      <c r="AP44" s="204">
        <f t="shared" si="27"/>
        <v>27.491366349487919</v>
      </c>
      <c r="AQ44" s="198">
        <f t="shared" si="14"/>
        <v>0.4798148586705383</v>
      </c>
      <c r="AR44" s="205">
        <f t="shared" si="15"/>
        <v>347.34100771344578</v>
      </c>
      <c r="AS44" s="206">
        <f t="shared" si="16"/>
        <v>346.77806889599708</v>
      </c>
      <c r="AT44" s="207">
        <f t="shared" si="17"/>
        <v>346.86360563714317</v>
      </c>
      <c r="AU44" s="205">
        <f t="shared" si="18"/>
        <v>12.658992286554223</v>
      </c>
      <c r="AV44" s="206">
        <f t="shared" si="18"/>
        <v>13.22193110400292</v>
      </c>
      <c r="AW44" s="208">
        <f t="shared" si="19"/>
        <v>13.136394362856834</v>
      </c>
      <c r="AX44" s="203"/>
    </row>
    <row r="45" spans="2:50" ht="20" customHeight="1" thickBot="1">
      <c r="K45" s="233" t="s">
        <v>109</v>
      </c>
      <c r="L45" s="236"/>
      <c r="M45" s="236"/>
      <c r="N45" s="233" t="s">
        <v>110</v>
      </c>
      <c r="P45" s="265"/>
      <c r="Q45" s="265"/>
      <c r="R45" s="265"/>
      <c r="Z45" s="421">
        <f t="shared" si="24"/>
        <v>1.3788101090755203</v>
      </c>
      <c r="AA45" s="418">
        <f t="shared" si="28"/>
        <v>79</v>
      </c>
      <c r="AB45" s="423">
        <f t="shared" si="25"/>
        <v>-1.3898668028187315</v>
      </c>
      <c r="AC45" s="110">
        <f t="shared" si="26"/>
        <v>0</v>
      </c>
      <c r="AD45" s="121"/>
      <c r="AE45" s="421">
        <f t="shared" si="23"/>
        <v>0.47996554429844107</v>
      </c>
      <c r="AF45" s="420">
        <f t="shared" si="21"/>
        <v>27.500000000000025</v>
      </c>
      <c r="AG45" s="424">
        <f t="shared" si="22"/>
        <v>4.6045845979487687E-3</v>
      </c>
      <c r="AH45" s="110" t="b">
        <f t="shared" si="3"/>
        <v>1</v>
      </c>
      <c r="AI45" s="121"/>
      <c r="AP45" s="204">
        <f t="shared" si="27"/>
        <v>27.46636634948792</v>
      </c>
      <c r="AQ45" s="198">
        <f t="shared" si="14"/>
        <v>0.47937852635753975</v>
      </c>
      <c r="AR45" s="205">
        <f t="shared" si="15"/>
        <v>347.37990014166922</v>
      </c>
      <c r="AS45" s="206">
        <f t="shared" si="16"/>
        <v>346.75023206019483</v>
      </c>
      <c r="AT45" s="207">
        <f t="shared" si="17"/>
        <v>346.90384382989561</v>
      </c>
      <c r="AU45" s="205">
        <f t="shared" si="18"/>
        <v>12.620099858330775</v>
      </c>
      <c r="AV45" s="206">
        <f t="shared" si="18"/>
        <v>13.249767939805167</v>
      </c>
      <c r="AW45" s="208">
        <f t="shared" si="19"/>
        <v>13.096156170104393</v>
      </c>
      <c r="AX45" s="203"/>
    </row>
    <row r="46" spans="2:50" ht="20" customHeight="1">
      <c r="K46" s="247" t="s">
        <v>24</v>
      </c>
      <c r="L46" s="245">
        <f>Q34-Q33</f>
        <v>-344.99696400152334</v>
      </c>
      <c r="M46" s="246" t="s">
        <v>24</v>
      </c>
      <c r="N46" s="245">
        <f>R34-R33</f>
        <v>1.5924510425676885E-2</v>
      </c>
      <c r="P46" s="265"/>
      <c r="Q46" s="265"/>
      <c r="R46" s="265"/>
      <c r="Z46" s="421">
        <f t="shared" si="24"/>
        <v>1.3613568165555769</v>
      </c>
      <c r="AA46" s="418">
        <f t="shared" si="28"/>
        <v>78</v>
      </c>
      <c r="AB46" s="423">
        <f t="shared" si="25"/>
        <v>-1.3898668028187315</v>
      </c>
      <c r="AC46" s="110">
        <f t="shared" si="26"/>
        <v>0</v>
      </c>
      <c r="AD46" s="121"/>
      <c r="AE46" s="421">
        <f t="shared" si="23"/>
        <v>0.4817108735504354</v>
      </c>
      <c r="AF46" s="420">
        <f t="shared" si="21"/>
        <v>27.600000000000026</v>
      </c>
      <c r="AG46" s="424">
        <f t="shared" si="22"/>
        <v>-1.3740423971053239E-2</v>
      </c>
      <c r="AH46" s="110">
        <f t="shared" si="3"/>
        <v>0</v>
      </c>
      <c r="AI46" s="121"/>
      <c r="AP46" s="204">
        <f t="shared" si="27"/>
        <v>27.441366349487922</v>
      </c>
      <c r="AQ46" s="198">
        <f t="shared" si="14"/>
        <v>0.47894219404454119</v>
      </c>
      <c r="AR46" s="205">
        <f t="shared" si="15"/>
        <v>347.41863552016417</v>
      </c>
      <c r="AS46" s="206">
        <f t="shared" si="16"/>
        <v>346.72247448228723</v>
      </c>
      <c r="AT46" s="207">
        <f t="shared" si="17"/>
        <v>346.94391258424901</v>
      </c>
      <c r="AU46" s="205">
        <f t="shared" si="18"/>
        <v>12.581364479835827</v>
      </c>
      <c r="AV46" s="206">
        <f t="shared" si="18"/>
        <v>13.277525517712775</v>
      </c>
      <c r="AW46" s="208">
        <f t="shared" si="19"/>
        <v>13.056087415750994</v>
      </c>
      <c r="AX46" s="203"/>
    </row>
    <row r="47" spans="2:50" ht="20" customHeight="1">
      <c r="K47" s="251" t="s">
        <v>25</v>
      </c>
      <c r="L47" s="248">
        <f>IF(L46&lt;0,L46+360,IF(L46&gt;360,L46-360,L46))</f>
        <v>15.003035998476662</v>
      </c>
      <c r="M47" s="249"/>
      <c r="N47" s="248"/>
      <c r="P47" s="266"/>
      <c r="Q47" s="266"/>
      <c r="R47" s="266"/>
      <c r="Z47" s="421">
        <f t="shared" si="24"/>
        <v>1.3613568165555769</v>
      </c>
      <c r="AA47" s="418">
        <f t="shared" si="28"/>
        <v>78</v>
      </c>
      <c r="AB47" s="423">
        <f t="shared" si="25"/>
        <v>-1.3898668028187315</v>
      </c>
      <c r="AC47" s="110">
        <f t="shared" si="26"/>
        <v>0</v>
      </c>
      <c r="AD47" s="121"/>
      <c r="AE47" s="421">
        <f t="shared" si="23"/>
        <v>0.48345620280242979</v>
      </c>
      <c r="AF47" s="420">
        <f t="shared" si="21"/>
        <v>27.700000000000028</v>
      </c>
      <c r="AG47" s="424">
        <f t="shared" si="22"/>
        <v>-3.2361348635820519E-2</v>
      </c>
      <c r="AH47" s="110">
        <f t="shared" si="3"/>
        <v>0</v>
      </c>
      <c r="AI47" s="121"/>
      <c r="AP47" s="204">
        <f t="shared" si="27"/>
        <v>27.416366349487923</v>
      </c>
      <c r="AQ47" s="198">
        <f t="shared" si="14"/>
        <v>0.47850586173154264</v>
      </c>
      <c r="AR47" s="205">
        <f t="shared" si="15"/>
        <v>347.45721509198779</v>
      </c>
      <c r="AS47" s="206">
        <f t="shared" si="16"/>
        <v>346.69479580934672</v>
      </c>
      <c r="AT47" s="207">
        <f t="shared" si="17"/>
        <v>346.9838133266735</v>
      </c>
      <c r="AU47" s="205">
        <f t="shared" si="18"/>
        <v>12.542784908012209</v>
      </c>
      <c r="AV47" s="206">
        <f t="shared" si="18"/>
        <v>13.305204190653285</v>
      </c>
      <c r="AW47" s="208">
        <f t="shared" si="19"/>
        <v>13.016186673326501</v>
      </c>
      <c r="AX47" s="203"/>
    </row>
    <row r="48" spans="2:50" ht="20" customHeight="1" thickBot="1">
      <c r="K48" s="254" t="s">
        <v>21</v>
      </c>
      <c r="L48" s="252">
        <f>(MINUTE(G21)+SECOND(G21)/60)*L47/60</f>
        <v>8.0974719291778197</v>
      </c>
      <c r="M48" s="253" t="s">
        <v>21</v>
      </c>
      <c r="N48" s="252">
        <f>(MINUTE(G21)+SECOND(G21)/60)*N46/60</f>
        <v>8.5948121547472743E-3</v>
      </c>
      <c r="P48" s="108"/>
      <c r="Q48" s="108"/>
      <c r="R48" s="108"/>
      <c r="Z48" s="421">
        <f t="shared" si="24"/>
        <v>1.3613568165555769</v>
      </c>
      <c r="AA48" s="418">
        <f t="shared" si="28"/>
        <v>78</v>
      </c>
      <c r="AB48" s="423">
        <f t="shared" si="25"/>
        <v>-1.3898668028187315</v>
      </c>
      <c r="AC48" s="110">
        <f t="shared" si="26"/>
        <v>0</v>
      </c>
      <c r="AD48" s="121"/>
      <c r="AE48" s="421">
        <f t="shared" si="23"/>
        <v>0.48520153205442412</v>
      </c>
      <c r="AF48" s="420">
        <f t="shared" si="21"/>
        <v>27.800000000000029</v>
      </c>
      <c r="AG48" s="424">
        <f t="shared" si="22"/>
        <v>-5.1266669468388759E-2</v>
      </c>
      <c r="AH48" s="110">
        <f t="shared" si="3"/>
        <v>0</v>
      </c>
      <c r="AI48" s="121"/>
      <c r="AJ48" s="86" t="s">
        <v>27</v>
      </c>
      <c r="AK48" s="74"/>
      <c r="AL48" s="74"/>
      <c r="AN48" s="74"/>
      <c r="AP48" s="204">
        <f t="shared" si="27"/>
        <v>27.391366349487924</v>
      </c>
      <c r="AQ48" s="198">
        <f t="shared" si="14"/>
        <v>0.47806952941854408</v>
      </c>
      <c r="AR48" s="205">
        <f t="shared" si="15"/>
        <v>347.49564008276332</v>
      </c>
      <c r="AS48" s="206">
        <f t="shared" si="16"/>
        <v>346.66719569130402</v>
      </c>
      <c r="AT48" s="207">
        <f t="shared" si="17"/>
        <v>347.02354746241934</v>
      </c>
      <c r="AU48" s="205">
        <f t="shared" si="18"/>
        <v>12.504359917236684</v>
      </c>
      <c r="AV48" s="206">
        <f t="shared" si="18"/>
        <v>13.332804308695984</v>
      </c>
      <c r="AW48" s="208">
        <f t="shared" si="19"/>
        <v>12.976452537580656</v>
      </c>
      <c r="AX48" s="203"/>
    </row>
    <row r="49" spans="1:50" ht="20" customHeight="1" thickBot="1">
      <c r="K49" s="255"/>
      <c r="L49" s="255"/>
      <c r="M49" s="255"/>
      <c r="N49" s="255"/>
      <c r="O49" s="108"/>
      <c r="P49" s="108"/>
      <c r="Q49" s="108"/>
      <c r="R49" s="108"/>
      <c r="Z49" s="421">
        <f t="shared" si="24"/>
        <v>1.3613568165555769</v>
      </c>
      <c r="AA49" s="418">
        <f t="shared" si="28"/>
        <v>78</v>
      </c>
      <c r="AB49" s="423">
        <f t="shared" si="25"/>
        <v>-1.3898668028187315</v>
      </c>
      <c r="AC49" s="110">
        <f t="shared" si="26"/>
        <v>0</v>
      </c>
      <c r="AD49" s="121"/>
      <c r="AE49" s="421">
        <f t="shared" si="23"/>
        <v>0.48694686130641845</v>
      </c>
      <c r="AF49" s="420">
        <f t="shared" si="21"/>
        <v>27.900000000000031</v>
      </c>
      <c r="AG49" s="424">
        <f t="shared" si="22"/>
        <v>-7.0465376694316184E-2</v>
      </c>
      <c r="AH49" s="110">
        <f t="shared" si="3"/>
        <v>0</v>
      </c>
      <c r="AI49" s="121"/>
      <c r="AJ49" s="443" t="s">
        <v>116</v>
      </c>
      <c r="AK49" s="397">
        <f>RADIANS(AL49)</f>
        <v>0.48036697002639944</v>
      </c>
      <c r="AL49" s="389">
        <f>DGET(AK6:AM30,1,AJ33:AJ34)</f>
        <v>27.523000000000007</v>
      </c>
      <c r="AM49" s="400">
        <f>ABS((DEGREES(ACOS((SIN(hmav)-SIN(deka)*SIN(AK49))/(COS(deka)*COS(AK49)))+IF(EW=TRUE,1,-1)*ACOS((SIN(hmb)-SIN(dekb)*SIN(AK49))/(COS(dekb)*COS(AK49)))))/15)-dt</f>
        <v>4.092392591119598E-4</v>
      </c>
      <c r="AN49" s="394"/>
      <c r="AP49" s="204">
        <f t="shared" si="27"/>
        <v>27.366366349487926</v>
      </c>
      <c r="AQ49" s="198">
        <f t="shared" si="14"/>
        <v>0.47763319710554553</v>
      </c>
      <c r="AR49" s="205">
        <f t="shared" si="15"/>
        <v>347.5339117010239</v>
      </c>
      <c r="AS49" s="206">
        <f t="shared" si="16"/>
        <v>346.6396737809153</v>
      </c>
      <c r="AT49" s="207">
        <f t="shared" si="17"/>
        <v>347.06311637596104</v>
      </c>
      <c r="AU49" s="205">
        <f t="shared" si="18"/>
        <v>12.466088298976103</v>
      </c>
      <c r="AV49" s="206">
        <f t="shared" si="18"/>
        <v>13.360326219084698</v>
      </c>
      <c r="AW49" s="208">
        <f t="shared" si="19"/>
        <v>12.936883624038956</v>
      </c>
      <c r="AX49" s="203"/>
    </row>
    <row r="50" spans="1:50" ht="20" customHeight="1" thickBot="1">
      <c r="K50" s="258"/>
      <c r="L50" s="256" t="s">
        <v>19</v>
      </c>
      <c r="M50" s="256" t="s">
        <v>9</v>
      </c>
      <c r="N50" s="257" t="s">
        <v>10</v>
      </c>
      <c r="O50" s="108"/>
      <c r="P50" s="108"/>
      <c r="Q50" s="108"/>
      <c r="R50" s="108"/>
      <c r="T50" s="108"/>
      <c r="Z50" s="421">
        <f t="shared" si="24"/>
        <v>1.3613568165555769</v>
      </c>
      <c r="AA50" s="418">
        <f t="shared" si="28"/>
        <v>78</v>
      </c>
      <c r="AB50" s="423">
        <f t="shared" si="25"/>
        <v>-1.3898668028187315</v>
      </c>
      <c r="AC50" s="110">
        <f t="shared" si="26"/>
        <v>0</v>
      </c>
      <c r="AD50" s="121"/>
      <c r="AE50" s="421">
        <f t="shared" si="23"/>
        <v>0.48869219055841284</v>
      </c>
      <c r="AF50" s="420">
        <f t="shared" si="21"/>
        <v>28.000000000000032</v>
      </c>
      <c r="AG50" s="424">
        <f t="shared" si="22"/>
        <v>-8.9967017226762369E-2</v>
      </c>
      <c r="AH50" s="110">
        <f t="shared" si="3"/>
        <v>0</v>
      </c>
      <c r="AI50" s="121"/>
      <c r="AJ50" s="399"/>
      <c r="AK50" s="398">
        <f>RADIANS(AL50)</f>
        <v>0.48047168978151911</v>
      </c>
      <c r="AL50" s="390">
        <f>IF($C$8="N",AL49+0.006,AL49-0.006)</f>
        <v>27.529000000000007</v>
      </c>
      <c r="AM50" s="401">
        <f>ABS((DEGREES(ACOS((SIN(hmav)-SIN(deka)*SIN(AK50))/(COS(deka)*COS(AK50)))+IF(EW=TRUE,1,-1)*ACOS((SIN(hmb)-SIN(dekb)*SIN(AK50))/(COS(dekb)*COS(AK50)))))/15)-dt</f>
        <v>-6.8754092008527223E-4</v>
      </c>
      <c r="AN50" s="395"/>
      <c r="AP50" s="204">
        <f t="shared" si="27"/>
        <v>27.341366349487927</v>
      </c>
      <c r="AQ50" s="198">
        <f t="shared" si="14"/>
        <v>0.47719686479254697</v>
      </c>
      <c r="AR50" s="205">
        <f t="shared" si="15"/>
        <v>347.57203113854865</v>
      </c>
      <c r="AS50" s="206">
        <f t="shared" si="16"/>
        <v>346.61222973373003</v>
      </c>
      <c r="AT50" s="207">
        <f t="shared" si="17"/>
        <v>347.10252143142901</v>
      </c>
      <c r="AU50" s="205">
        <f t="shared" si="18"/>
        <v>12.427968861451347</v>
      </c>
      <c r="AV50" s="206">
        <f t="shared" si="18"/>
        <v>13.387770266269968</v>
      </c>
      <c r="AW50" s="208">
        <f t="shared" si="19"/>
        <v>12.897478568570989</v>
      </c>
      <c r="AX50" s="203"/>
    </row>
    <row r="51" spans="1:50" ht="20" customHeight="1">
      <c r="K51" s="246" t="s">
        <v>14</v>
      </c>
      <c r="L51" s="259">
        <f>Q33+L48</f>
        <v>367.2955367006536</v>
      </c>
      <c r="M51" s="259">
        <f>RADIANS(L51)</f>
        <v>6.4105164433060757</v>
      </c>
      <c r="N51" s="245" t="s">
        <v>124</v>
      </c>
      <c r="O51" s="108"/>
      <c r="P51" s="108"/>
      <c r="Q51" s="108"/>
      <c r="R51" s="108"/>
      <c r="T51" s="108"/>
      <c r="Z51" s="421">
        <f t="shared" si="24"/>
        <v>1.3613568165555769</v>
      </c>
      <c r="AA51" s="418">
        <f t="shared" si="28"/>
        <v>78</v>
      </c>
      <c r="AB51" s="423">
        <f t="shared" si="25"/>
        <v>-1.3898668028187315</v>
      </c>
      <c r="AC51" s="110">
        <f t="shared" si="26"/>
        <v>0</v>
      </c>
      <c r="AD51" s="121"/>
      <c r="AE51" s="421">
        <f t="shared" si="23"/>
        <v>0.49043751981040717</v>
      </c>
      <c r="AF51" s="420">
        <f t="shared" si="21"/>
        <v>28.100000000000033</v>
      </c>
      <c r="AG51" s="424">
        <f t="shared" si="22"/>
        <v>-0.10978174698495868</v>
      </c>
      <c r="AH51" s="110">
        <f t="shared" si="3"/>
        <v>0</v>
      </c>
      <c r="AI51" s="347"/>
      <c r="AJ51" s="391"/>
      <c r="AK51" s="408" t="s">
        <v>119</v>
      </c>
      <c r="AL51" s="410">
        <f>AL49+IF($C$8="N",1,-1)*(AM49*0.006)/(AM49-AM50)</f>
        <v>27.525238767258244</v>
      </c>
      <c r="AM51" s="403"/>
      <c r="AN51" s="396"/>
      <c r="AP51" s="204">
        <f t="shared" si="27"/>
        <v>27.316366349487929</v>
      </c>
      <c r="AQ51" s="198">
        <f t="shared" si="14"/>
        <v>0.47676053247954842</v>
      </c>
      <c r="AR51" s="205">
        <f t="shared" si="15"/>
        <v>347.60999957068873</v>
      </c>
      <c r="AS51" s="206">
        <f t="shared" si="16"/>
        <v>346.58486320805952</v>
      </c>
      <c r="AT51" s="207">
        <f t="shared" si="17"/>
        <v>347.14176397303027</v>
      </c>
      <c r="AU51" s="205">
        <f t="shared" si="18"/>
        <v>12.390000429311272</v>
      </c>
      <c r="AV51" s="206">
        <f t="shared" si="18"/>
        <v>13.415136791940483</v>
      </c>
      <c r="AW51" s="208">
        <f t="shared" si="19"/>
        <v>12.858236026969735</v>
      </c>
      <c r="AX51" s="203"/>
    </row>
    <row r="52" spans="1:50" ht="20" customHeight="1" thickBot="1">
      <c r="J52" s="5"/>
      <c r="K52" s="261" t="s">
        <v>11</v>
      </c>
      <c r="L52" s="260">
        <f>R33+N48</f>
        <v>5.5144679500749048</v>
      </c>
      <c r="M52" s="260">
        <f>RADIANS(L52)</f>
        <v>9.6245622224509372E-2</v>
      </c>
      <c r="N52" s="252" t="s">
        <v>18</v>
      </c>
      <c r="O52" s="108"/>
      <c r="P52" s="108"/>
      <c r="Q52" s="108"/>
      <c r="R52" s="108"/>
      <c r="T52" s="108"/>
      <c r="Z52" s="421">
        <f t="shared" si="24"/>
        <v>1.3613568165555769</v>
      </c>
      <c r="AA52" s="418">
        <f t="shared" si="28"/>
        <v>78</v>
      </c>
      <c r="AB52" s="423">
        <f t="shared" si="25"/>
        <v>-1.3898668028187315</v>
      </c>
      <c r="AC52" s="110">
        <f t="shared" si="26"/>
        <v>0</v>
      </c>
      <c r="AD52" s="121"/>
      <c r="AE52" s="421">
        <f t="shared" si="23"/>
        <v>0.49218284906240156</v>
      </c>
      <c r="AF52" s="420">
        <f t="shared" si="21"/>
        <v>28.200000000000035</v>
      </c>
      <c r="AG52" s="424">
        <f t="shared" si="22"/>
        <v>-0.12992038991617383</v>
      </c>
      <c r="AH52" s="110">
        <f t="shared" si="3"/>
        <v>0</v>
      </c>
      <c r="AI52" s="347"/>
      <c r="AJ52" s="392"/>
      <c r="AK52" s="409" t="s">
        <v>117</v>
      </c>
      <c r="AL52" s="411">
        <f>RADIANS(AL51)</f>
        <v>0.48040604388624153</v>
      </c>
      <c r="AM52" s="404"/>
      <c r="AN52" s="340"/>
      <c r="AP52" s="204">
        <f t="shared" si="27"/>
        <v>27.29136634948793</v>
      </c>
      <c r="AQ52" s="198">
        <f t="shared" si="14"/>
        <v>0.47632420016654986</v>
      </c>
      <c r="AR52" s="205">
        <f t="shared" si="15"/>
        <v>347.64781815668681</v>
      </c>
      <c r="AS52" s="206">
        <f t="shared" si="16"/>
        <v>346.55757386494548</v>
      </c>
      <c r="AT52" s="207">
        <f t="shared" si="17"/>
        <v>347.18084532545771</v>
      </c>
      <c r="AU52" s="205">
        <f t="shared" si="18"/>
        <v>12.35218184331319</v>
      </c>
      <c r="AV52" s="206">
        <f t="shared" si="18"/>
        <v>13.442426135054518</v>
      </c>
      <c r="AW52" s="208">
        <f t="shared" si="19"/>
        <v>12.81915467454229</v>
      </c>
      <c r="AX52" s="203"/>
    </row>
    <row r="53" spans="1:50" ht="20" customHeight="1" thickBot="1">
      <c r="J53" s="5"/>
      <c r="K53" s="108"/>
      <c r="L53" s="108"/>
      <c r="M53" s="108"/>
      <c r="N53" s="108"/>
      <c r="O53" s="108"/>
      <c r="P53" s="108"/>
      <c r="Q53" s="108"/>
      <c r="R53" s="108"/>
      <c r="T53" s="108"/>
      <c r="Z53" s="421">
        <f t="shared" si="24"/>
        <v>1.3613568165555769</v>
      </c>
      <c r="AA53" s="418">
        <f t="shared" si="28"/>
        <v>78</v>
      </c>
      <c r="AB53" s="423">
        <f t="shared" si="25"/>
        <v>-1.3898668028187315</v>
      </c>
      <c r="AC53" s="110">
        <f t="shared" si="26"/>
        <v>0</v>
      </c>
      <c r="AD53" s="121"/>
      <c r="AE53" s="421">
        <f t="shared" si="23"/>
        <v>0.49392817831439589</v>
      </c>
      <c r="AF53" s="420">
        <f t="shared" si="21"/>
        <v>28.300000000000036</v>
      </c>
      <c r="AG53" s="424">
        <f t="shared" si="22"/>
        <v>-0.15039450481976457</v>
      </c>
      <c r="AH53" s="110">
        <f t="shared" si="3"/>
        <v>0</v>
      </c>
      <c r="AI53" s="347"/>
      <c r="AJ53" s="393"/>
      <c r="AK53" s="426" t="s">
        <v>118</v>
      </c>
      <c r="AL53" s="115">
        <f>ABS(ROUNDDOWN(Breite°,0))</f>
        <v>27</v>
      </c>
      <c r="AM53" s="116">
        <f>(ABS(Breite°)-AL53)*60</f>
        <v>31.514326035494662</v>
      </c>
      <c r="AN53" s="406" t="str">
        <f>IF(Breite°&gt;0,"N","S")</f>
        <v>N</v>
      </c>
      <c r="AP53" s="204">
        <f t="shared" si="27"/>
        <v>27.266366349487932</v>
      </c>
      <c r="AQ53" s="198">
        <f t="shared" si="14"/>
        <v>0.47588786785355131</v>
      </c>
      <c r="AR53" s="205">
        <f t="shared" si="15"/>
        <v>347.68548803998709</v>
      </c>
      <c r="AS53" s="206">
        <f t="shared" si="16"/>
        <v>346.53036136812966</v>
      </c>
      <c r="AT53" s="207">
        <f t="shared" si="17"/>
        <v>347.21976679428843</v>
      </c>
      <c r="AU53" s="205">
        <f t="shared" si="18"/>
        <v>12.314511960012908</v>
      </c>
      <c r="AV53" s="206">
        <f t="shared" si="18"/>
        <v>13.469638631870339</v>
      </c>
      <c r="AW53" s="208">
        <f t="shared" si="19"/>
        <v>12.780233205711568</v>
      </c>
      <c r="AX53" s="203"/>
    </row>
    <row r="54" spans="1:50" ht="20" customHeight="1">
      <c r="K54" s="108"/>
      <c r="L54" s="108"/>
      <c r="M54" s="108"/>
      <c r="N54" s="108"/>
      <c r="O54" s="108"/>
      <c r="P54" s="108"/>
      <c r="Q54" s="108"/>
      <c r="R54" s="108"/>
      <c r="T54" s="108"/>
      <c r="Z54" s="421">
        <f t="shared" si="24"/>
        <v>1.3613568165555769</v>
      </c>
      <c r="AA54" s="418">
        <f t="shared" si="28"/>
        <v>78</v>
      </c>
      <c r="AB54" s="423">
        <f t="shared" si="25"/>
        <v>-1.3898668028187315</v>
      </c>
      <c r="AC54" s="110">
        <f t="shared" si="26"/>
        <v>0</v>
      </c>
      <c r="AD54" s="121"/>
      <c r="AE54" s="421">
        <f t="shared" si="23"/>
        <v>0.49567350756639023</v>
      </c>
      <c r="AF54" s="420">
        <f t="shared" si="21"/>
        <v>28.400000000000038</v>
      </c>
      <c r="AG54" s="424">
        <f t="shared" si="22"/>
        <v>-0.17121646129315193</v>
      </c>
      <c r="AH54" s="110">
        <f t="shared" si="3"/>
        <v>0</v>
      </c>
      <c r="AI54" s="347"/>
      <c r="AJ54" s="412" t="s">
        <v>120</v>
      </c>
      <c r="AK54" s="427" t="s">
        <v>59</v>
      </c>
      <c r="AL54" s="430">
        <f>DEGREES(ACOS((SIN(hmav)-SIN(deka)*SIN(Breite))/COS(deka)/COS(Breite)))</f>
        <v>14.582877014094855</v>
      </c>
      <c r="AM54" s="413">
        <f>RADIANS(AL54)</f>
        <v>0.25451921830935476</v>
      </c>
      <c r="AN54" s="339"/>
      <c r="AO54" s="12"/>
      <c r="AP54" s="204">
        <f t="shared" si="27"/>
        <v>27.241366349487933</v>
      </c>
      <c r="AQ54" s="198">
        <f t="shared" si="14"/>
        <v>0.47545153554055275</v>
      </c>
      <c r="AR54" s="205">
        <f t="shared" si="15"/>
        <v>347.72301034853876</v>
      </c>
      <c r="AS54" s="206">
        <f t="shared" si="16"/>
        <v>346.50322538402338</v>
      </c>
      <c r="AT54" s="207">
        <f t="shared" si="17"/>
        <v>347.25852966637171</v>
      </c>
      <c r="AU54" s="205">
        <f t="shared" si="18"/>
        <v>12.276989651461236</v>
      </c>
      <c r="AV54" s="206">
        <f t="shared" si="18"/>
        <v>13.496774615976619</v>
      </c>
      <c r="AW54" s="208">
        <f t="shared" si="19"/>
        <v>12.741470333628286</v>
      </c>
      <c r="AX54" s="203"/>
    </row>
    <row r="55" spans="1:50" ht="20" customHeight="1"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Z55" s="421">
        <f t="shared" si="24"/>
        <v>1.3613568165555769</v>
      </c>
      <c r="AA55" s="418">
        <f t="shared" si="28"/>
        <v>78</v>
      </c>
      <c r="AB55" s="423">
        <f t="shared" si="25"/>
        <v>-1.3898668028187315</v>
      </c>
      <c r="AC55" s="110">
        <f t="shared" si="26"/>
        <v>0</v>
      </c>
      <c r="AD55" s="121"/>
      <c r="AE55" s="421">
        <f t="shared" si="23"/>
        <v>0.49741883681838461</v>
      </c>
      <c r="AF55" s="420">
        <f t="shared" si="21"/>
        <v>28.500000000000039</v>
      </c>
      <c r="AG55" s="424">
        <f t="shared" si="22"/>
        <v>-0.19239952639394797</v>
      </c>
      <c r="AH55" s="110">
        <f t="shared" si="3"/>
        <v>0</v>
      </c>
      <c r="AI55" s="121"/>
      <c r="AJ55" s="392"/>
      <c r="AK55" s="428" t="s">
        <v>58</v>
      </c>
      <c r="AL55" s="431">
        <f>L42</f>
        <v>332.22593713236415</v>
      </c>
      <c r="AM55" s="409">
        <f t="shared" ref="AM55:AM58" si="29">RADIANS(AL55)</f>
        <v>5.7984364634834424</v>
      </c>
      <c r="AN55" s="338"/>
      <c r="AO55" s="12"/>
      <c r="AP55" s="204">
        <f t="shared" si="27"/>
        <v>27.216366349487934</v>
      </c>
      <c r="AQ55" s="198">
        <f t="shared" si="14"/>
        <v>0.47501520322755419</v>
      </c>
      <c r="AR55" s="205">
        <f t="shared" si="15"/>
        <v>347.7603861950916</v>
      </c>
      <c r="AS55" s="206">
        <f t="shared" si="16"/>
        <v>346.47616558167766</v>
      </c>
      <c r="AT55" s="207">
        <f t="shared" si="17"/>
        <v>347.29713521020778</v>
      </c>
      <c r="AU55" s="205">
        <f t="shared" si="18"/>
        <v>12.239613804908402</v>
      </c>
      <c r="AV55" s="206">
        <f t="shared" si="18"/>
        <v>13.523834418322338</v>
      </c>
      <c r="AW55" s="208">
        <f t="shared" si="19"/>
        <v>12.702864789792216</v>
      </c>
      <c r="AX55" s="203"/>
    </row>
    <row r="56" spans="1:50" ht="20" customHeight="1">
      <c r="A56" s="515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108"/>
      <c r="N56" s="108"/>
      <c r="O56" s="108"/>
      <c r="P56" s="108"/>
      <c r="Q56" s="108"/>
      <c r="R56" s="108"/>
      <c r="S56" s="108"/>
      <c r="T56" s="108"/>
      <c r="Z56" s="421">
        <f t="shared" si="24"/>
        <v>1.3613568165555769</v>
      </c>
      <c r="AA56" s="418">
        <f t="shared" si="28"/>
        <v>78</v>
      </c>
      <c r="AB56" s="423">
        <f t="shared" si="25"/>
        <v>-1.3898668028187315</v>
      </c>
      <c r="AC56" s="110">
        <f t="shared" si="26"/>
        <v>0</v>
      </c>
      <c r="AD56" s="121"/>
      <c r="AE56" s="421">
        <f t="shared" si="23"/>
        <v>0.49916416607037895</v>
      </c>
      <c r="AF56" s="420">
        <f t="shared" si="21"/>
        <v>28.600000000000041</v>
      </c>
      <c r="AG56" s="424">
        <f t="shared" si="22"/>
        <v>-0.21395796395568745</v>
      </c>
      <c r="AH56" s="110">
        <f t="shared" si="3"/>
        <v>0</v>
      </c>
      <c r="AI56" s="121"/>
      <c r="AJ56" s="392"/>
      <c r="AK56" s="428" t="s">
        <v>60</v>
      </c>
      <c r="AL56" s="431">
        <f>AL55+IF(dira="E",1,-1)*AL54</f>
        <v>346.80881414645899</v>
      </c>
      <c r="AM56" s="409">
        <f t="shared" si="29"/>
        <v>6.0529556817927972</v>
      </c>
      <c r="AN56" s="338"/>
      <c r="AO56" s="12"/>
      <c r="AP56" s="204">
        <f t="shared" si="27"/>
        <v>27.191366349487936</v>
      </c>
      <c r="AQ56" s="198">
        <f t="shared" si="14"/>
        <v>0.47457887091455564</v>
      </c>
      <c r="AR56" s="205">
        <f t="shared" si="15"/>
        <v>347.79761667748403</v>
      </c>
      <c r="AS56" s="206">
        <f t="shared" si="16"/>
        <v>346.44918163275395</v>
      </c>
      <c r="AT56" s="207">
        <f t="shared" si="17"/>
        <v>347.3355846763144</v>
      </c>
      <c r="AU56" s="205">
        <f t="shared" si="18"/>
        <v>12.202383322515971</v>
      </c>
      <c r="AV56" s="206">
        <f t="shared" si="18"/>
        <v>13.550818367246052</v>
      </c>
      <c r="AW56" s="208">
        <f t="shared" si="19"/>
        <v>12.664415323685603</v>
      </c>
      <c r="AX56" s="203"/>
    </row>
    <row r="57" spans="1:50" ht="20" customHeight="1" thickBot="1">
      <c r="B57" s="13" t="s">
        <v>80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Z57" s="421">
        <f t="shared" si="24"/>
        <v>1.3613568165555769</v>
      </c>
      <c r="AA57" s="418">
        <f t="shared" si="28"/>
        <v>78</v>
      </c>
      <c r="AB57" s="423">
        <f t="shared" si="25"/>
        <v>-1.3898668028187315</v>
      </c>
      <c r="AC57" s="110">
        <f t="shared" si="26"/>
        <v>0</v>
      </c>
      <c r="AD57" s="121"/>
      <c r="AE57" s="421">
        <f t="shared" si="23"/>
        <v>0.50090949532237328</v>
      </c>
      <c r="AF57" s="420">
        <f t="shared" si="21"/>
        <v>28.700000000000042</v>
      </c>
      <c r="AG57" s="424">
        <f t="shared" si="22"/>
        <v>-0.23590714892561016</v>
      </c>
      <c r="AH57" s="110">
        <f t="shared" si="3"/>
        <v>0</v>
      </c>
      <c r="AI57" s="121"/>
      <c r="AJ57" s="392"/>
      <c r="AK57" s="429" t="s">
        <v>61</v>
      </c>
      <c r="AL57" s="431">
        <f>IF(AL56&lt;0,ABS(AL56),IF(AL56&gt;360,-(AL56-360),IF(AND(AL56&gt;180,AL56&lt;360),360-AL56,-AL56)))</f>
        <v>13.191185853541015</v>
      </c>
      <c r="AM57" s="409">
        <f t="shared" si="29"/>
        <v>0.23022962538678921</v>
      </c>
      <c r="AN57" s="338"/>
      <c r="AO57" s="12"/>
      <c r="AP57" s="204">
        <f t="shared" si="27"/>
        <v>27.166366349487937</v>
      </c>
      <c r="AQ57" s="210">
        <f t="shared" si="14"/>
        <v>0.47414253860155708</v>
      </c>
      <c r="AR57" s="205">
        <f t="shared" si="15"/>
        <v>347.83470287892447</v>
      </c>
      <c r="AS57" s="206">
        <f t="shared" si="16"/>
        <v>346.42227321149534</v>
      </c>
      <c r="AT57" s="207">
        <f t="shared" si="17"/>
        <v>347.37387929758683</v>
      </c>
      <c r="AU57" s="205">
        <f t="shared" si="18"/>
        <v>12.165297121075525</v>
      </c>
      <c r="AV57" s="206">
        <f t="shared" si="18"/>
        <v>13.577726788504663</v>
      </c>
      <c r="AW57" s="211">
        <f t="shared" si="19"/>
        <v>12.626120702413175</v>
      </c>
      <c r="AX57" s="212"/>
    </row>
    <row r="58" spans="1:50" ht="20" customHeight="1">
      <c r="B58" s="145" t="s">
        <v>81</v>
      </c>
      <c r="C58" s="502">
        <f>G13</f>
        <v>0.42509259259259258</v>
      </c>
      <c r="D58" s="503"/>
      <c r="E58" s="502">
        <f>G21</f>
        <v>0.52248842592592593</v>
      </c>
      <c r="F58" s="508"/>
      <c r="G58" s="503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Z58" s="421">
        <f t="shared" si="24"/>
        <v>1.3613568165555769</v>
      </c>
      <c r="AA58" s="418">
        <f t="shared" si="28"/>
        <v>78</v>
      </c>
      <c r="AB58" s="423">
        <f t="shared" si="25"/>
        <v>-1.3898668028187315</v>
      </c>
      <c r="AC58" s="110">
        <f t="shared" si="26"/>
        <v>0</v>
      </c>
      <c r="AD58" s="121"/>
      <c r="AE58" s="421">
        <f t="shared" si="23"/>
        <v>0.50265482457436772</v>
      </c>
      <c r="AF58" s="420">
        <f t="shared" si="21"/>
        <v>28.800000000000043</v>
      </c>
      <c r="AG58" s="424">
        <f t="shared" si="22"/>
        <v>-0.25826369963978335</v>
      </c>
      <c r="AH58" s="110">
        <f t="shared" si="3"/>
        <v>0</v>
      </c>
      <c r="AI58" s="121"/>
      <c r="AJ58" s="392"/>
      <c r="AK58" s="429" t="s">
        <v>62</v>
      </c>
      <c r="AL58" s="431">
        <f>IF(AL57&lt;180,AL57,360-AL57)</f>
        <v>13.191185853541015</v>
      </c>
      <c r="AM58" s="409">
        <f t="shared" si="29"/>
        <v>0.23022962538678921</v>
      </c>
      <c r="AN58" s="405"/>
      <c r="AP58" s="213">
        <f>AP59-vb</f>
        <v>27.807493931717573</v>
      </c>
      <c r="AQ58" s="214"/>
      <c r="AR58" s="215"/>
      <c r="AS58" s="216"/>
      <c r="AT58" s="217"/>
      <c r="AU58" s="218"/>
      <c r="AV58" s="219"/>
      <c r="AW58" s="220"/>
      <c r="AX58" s="221">
        <f>AX59-vl</f>
        <v>13.163339752362566</v>
      </c>
    </row>
    <row r="59" spans="1:50" ht="20" customHeight="1" thickBot="1">
      <c r="B59" s="146" t="s">
        <v>82</v>
      </c>
      <c r="C59" s="147">
        <f>INT(L42)</f>
        <v>332</v>
      </c>
      <c r="D59" s="148">
        <f>(L42-C59)*60</f>
        <v>13.556227941849102</v>
      </c>
      <c r="E59" s="149"/>
      <c r="F59" s="147">
        <f>INT(L51)</f>
        <v>367</v>
      </c>
      <c r="G59" s="150">
        <f>(L51-F59)*60</f>
        <v>17.732202039215963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Z59" s="421">
        <f t="shared" si="24"/>
        <v>1.3613568165555769</v>
      </c>
      <c r="AA59" s="418">
        <f t="shared" si="28"/>
        <v>78</v>
      </c>
      <c r="AB59" s="423">
        <f t="shared" si="25"/>
        <v>-1.3898668028187315</v>
      </c>
      <c r="AC59" s="110"/>
      <c r="AD59" s="121"/>
      <c r="AE59" s="421">
        <f t="shared" si="23"/>
        <v>0.50440015382636205</v>
      </c>
      <c r="AF59" s="420">
        <f t="shared" si="21"/>
        <v>28.900000000000045</v>
      </c>
      <c r="AG59" s="424">
        <f t="shared" si="22"/>
        <v>-0.28104563164855367</v>
      </c>
      <c r="AH59" s="110"/>
      <c r="AI59" s="121"/>
      <c r="AJ59" s="393"/>
      <c r="AK59" s="432" t="s">
        <v>118</v>
      </c>
      <c r="AL59" s="402">
        <f>ABS(ROUNDDOWN(AL58,0))</f>
        <v>13</v>
      </c>
      <c r="AM59" s="116">
        <f>(ABS(AL58)-AL59)*60</f>
        <v>11.471151212460882</v>
      </c>
      <c r="AN59" s="406" t="str">
        <f>IF(AL57&gt;0,"E","W")</f>
        <v>E</v>
      </c>
      <c r="AP59" s="222">
        <f>Breite°</f>
        <v>27.525238767258244</v>
      </c>
      <c r="AQ59" s="223"/>
      <c r="AR59" s="224"/>
      <c r="AS59" s="225"/>
      <c r="AT59" s="226"/>
      <c r="AU59" s="227"/>
      <c r="AV59" s="228"/>
      <c r="AW59" s="229"/>
      <c r="AX59" s="230">
        <f>AL57</f>
        <v>13.191185853541015</v>
      </c>
    </row>
    <row r="60" spans="1:50" ht="20" customHeight="1">
      <c r="B60" s="151" t="s">
        <v>83</v>
      </c>
      <c r="C60" s="152">
        <f>ROUNDDOWN(L43,0)</f>
        <v>5</v>
      </c>
      <c r="D60" s="153">
        <f>(L43-C60)*60</f>
        <v>28.634229887237144</v>
      </c>
      <c r="E60" s="154"/>
      <c r="F60" s="152">
        <f>ROUNDDOWN(L52,0)</f>
        <v>5</v>
      </c>
      <c r="G60" s="155">
        <f>(L52-F60)*60</f>
        <v>30.868077004494285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289"/>
      <c r="Z60" s="111"/>
      <c r="AA60" s="111"/>
      <c r="AB60" s="111"/>
      <c r="AC60" s="112"/>
      <c r="AD60" s="121"/>
      <c r="AE60" s="112"/>
      <c r="AF60" s="112"/>
      <c r="AG60" s="101"/>
      <c r="AH60" s="101"/>
      <c r="AI60" s="121"/>
      <c r="AJ60" s="121"/>
    </row>
    <row r="61" spans="1:50" ht="20" customHeight="1">
      <c r="B61" s="156" t="s">
        <v>84</v>
      </c>
      <c r="C61" s="152">
        <f>ROUNDDOWN(LHA,0)</f>
        <v>345</v>
      </c>
      <c r="D61" s="153">
        <f>(LHA-C61)*60</f>
        <v>25.027379154309983</v>
      </c>
      <c r="E61" s="157"/>
      <c r="F61" s="158"/>
      <c r="G61" s="159"/>
      <c r="J61" s="67"/>
      <c r="O61" s="263"/>
      <c r="P61" s="263"/>
      <c r="Q61" s="263"/>
      <c r="R61" s="263"/>
      <c r="S61" s="263"/>
      <c r="T61" s="263"/>
      <c r="U61" s="263"/>
      <c r="V61" s="263"/>
      <c r="W61" s="263"/>
      <c r="X61" s="290"/>
      <c r="Y61" s="416"/>
      <c r="Z61" s="290"/>
      <c r="AA61" s="416"/>
      <c r="AB61" s="290"/>
      <c r="AC61" s="416"/>
      <c r="AD61" s="121"/>
      <c r="AE61" s="121"/>
      <c r="AF61" s="121"/>
      <c r="AG61" s="121"/>
      <c r="AH61" s="121"/>
      <c r="AI61" s="121"/>
      <c r="AJ61" s="121"/>
    </row>
    <row r="62" spans="1:50" ht="20" customHeight="1">
      <c r="B62" s="151" t="s">
        <v>85</v>
      </c>
      <c r="C62" s="152">
        <f>INT(V8)</f>
        <v>145</v>
      </c>
      <c r="D62" s="153">
        <f>(V8-C62)*60</f>
        <v>0.53426254378109661</v>
      </c>
      <c r="E62" s="154"/>
      <c r="F62" s="152"/>
      <c r="G62" s="155"/>
      <c r="O62" s="262"/>
      <c r="P62" s="262"/>
      <c r="Q62" s="262"/>
      <c r="R62" s="262"/>
      <c r="S62" s="262"/>
      <c r="T62" s="262"/>
      <c r="U62" s="262"/>
      <c r="V62" s="262"/>
      <c r="W62" s="262"/>
      <c r="X62" s="290"/>
      <c r="Y62" s="416"/>
      <c r="Z62" s="290"/>
      <c r="AA62" s="416"/>
      <c r="AB62" s="290"/>
      <c r="AC62" s="416"/>
      <c r="AD62" s="121"/>
      <c r="AE62" s="121"/>
      <c r="AF62" s="121"/>
      <c r="AG62" s="121"/>
      <c r="AH62" s="121"/>
      <c r="AI62" s="121"/>
      <c r="AJ62" s="121"/>
      <c r="AN62" s="88"/>
    </row>
    <row r="63" spans="1:50" ht="20" customHeight="1">
      <c r="B63" s="160" t="s">
        <v>113</v>
      </c>
      <c r="C63" s="345">
        <f>M12</f>
        <v>63</v>
      </c>
      <c r="D63" s="161">
        <f>N12</f>
        <v>42.432797783134077</v>
      </c>
      <c r="E63" s="162"/>
      <c r="F63" s="345">
        <f>O12</f>
        <v>60</v>
      </c>
      <c r="G63" s="163">
        <f>P12</f>
        <v>36.769251792344448</v>
      </c>
      <c r="O63" s="250"/>
      <c r="P63" s="250"/>
      <c r="Q63" s="250"/>
      <c r="R63" s="250"/>
      <c r="S63" s="250"/>
      <c r="T63" s="250"/>
      <c r="U63" s="250"/>
      <c r="V63" s="250"/>
      <c r="W63" s="250"/>
      <c r="X63" s="290"/>
      <c r="Y63" s="416"/>
      <c r="Z63" s="290"/>
      <c r="AA63" s="416"/>
      <c r="AB63" s="290"/>
      <c r="AC63" s="416"/>
      <c r="AD63" s="121"/>
      <c r="AE63" s="121"/>
      <c r="AF63" s="121"/>
      <c r="AG63" s="121"/>
      <c r="AH63" s="121"/>
      <c r="AI63" s="121"/>
      <c r="AJ63" s="121"/>
      <c r="AK63" s="75"/>
      <c r="AL63" s="75"/>
      <c r="AM63" s="83"/>
      <c r="AN63" s="88"/>
    </row>
    <row r="64" spans="1:50" s="304" customFormat="1" ht="20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50"/>
      <c r="P64" s="250"/>
      <c r="Q64" s="250"/>
      <c r="R64" s="250"/>
      <c r="S64" s="250"/>
      <c r="T64" s="250"/>
      <c r="U64" s="250"/>
      <c r="V64" s="250"/>
      <c r="W64" s="250"/>
      <c r="X64" s="305"/>
      <c r="Y64" s="416"/>
      <c r="Z64" s="305"/>
      <c r="AA64" s="416"/>
      <c r="AB64" s="305"/>
      <c r="AC64" s="416"/>
      <c r="AD64" s="121"/>
      <c r="AE64" s="121"/>
      <c r="AF64" s="121"/>
      <c r="AG64" s="121"/>
      <c r="AH64" s="121"/>
      <c r="AI64" s="121"/>
      <c r="AJ64" s="121"/>
      <c r="AK64" s="72"/>
      <c r="AL64" s="75"/>
      <c r="AM64" s="75"/>
      <c r="AN64" s="88"/>
    </row>
    <row r="65" spans="9:40" ht="20" customHeight="1">
      <c r="I65" s="9"/>
      <c r="O65" s="250"/>
      <c r="P65" s="250"/>
      <c r="Q65" s="250"/>
      <c r="R65" s="250"/>
      <c r="S65" s="250"/>
      <c r="T65" s="250"/>
      <c r="U65" s="250"/>
      <c r="V65" s="250"/>
      <c r="W65" s="250"/>
      <c r="X65" s="126"/>
      <c r="Y65" s="416"/>
      <c r="Z65" s="126"/>
      <c r="AA65" s="416"/>
      <c r="AB65" s="126"/>
      <c r="AC65" s="416"/>
      <c r="AD65" s="121"/>
      <c r="AE65" s="121"/>
      <c r="AF65" s="121"/>
      <c r="AG65" s="121"/>
      <c r="AH65" s="121"/>
      <c r="AI65" s="121"/>
      <c r="AJ65" s="121"/>
      <c r="AK65" s="72"/>
      <c r="AL65" s="28"/>
      <c r="AM65" s="28"/>
      <c r="AN65" s="88"/>
    </row>
    <row r="66" spans="9:40" ht="20" customHeight="1">
      <c r="I66" s="9"/>
      <c r="O66" s="250"/>
      <c r="P66" s="250"/>
      <c r="Q66" s="250"/>
      <c r="R66" s="250"/>
      <c r="S66" s="250"/>
      <c r="T66" s="250"/>
      <c r="U66" s="250"/>
      <c r="V66" s="250"/>
      <c r="W66" s="250"/>
      <c r="X66" s="20"/>
      <c r="Y66" s="416"/>
      <c r="Z66" s="20"/>
      <c r="AA66" s="416"/>
      <c r="AB66" s="20"/>
      <c r="AC66" s="416"/>
      <c r="AD66" s="121"/>
      <c r="AE66" s="121"/>
      <c r="AF66" s="121"/>
      <c r="AG66" s="121"/>
      <c r="AH66" s="121"/>
      <c r="AI66" s="121"/>
      <c r="AJ66" s="121"/>
      <c r="AK66" s="72"/>
      <c r="AL66" s="28"/>
      <c r="AM66" s="28"/>
      <c r="AN66" s="88"/>
    </row>
    <row r="67" spans="9:40" ht="20" customHeight="1">
      <c r="I67" s="9"/>
      <c r="O67" s="250"/>
      <c r="P67" s="250"/>
      <c r="Q67" s="250"/>
      <c r="R67" s="250"/>
      <c r="S67" s="250"/>
      <c r="T67" s="250"/>
      <c r="U67" s="250"/>
      <c r="V67" s="250"/>
      <c r="W67" s="250"/>
      <c r="X67" s="108"/>
      <c r="Y67" s="416"/>
      <c r="Z67" s="108"/>
      <c r="AA67" s="416"/>
      <c r="AB67" s="108"/>
      <c r="AC67" s="416"/>
      <c r="AD67" s="121"/>
      <c r="AE67" s="121"/>
      <c r="AF67" s="121"/>
      <c r="AG67" s="121"/>
      <c r="AH67" s="121"/>
      <c r="AI67" s="121"/>
      <c r="AJ67" s="121"/>
      <c r="AK67" s="119"/>
      <c r="AL67" s="144"/>
      <c r="AM67" s="136"/>
      <c r="AN67" s="88"/>
    </row>
    <row r="68" spans="9:40" ht="20" customHeight="1">
      <c r="I68" s="9"/>
      <c r="O68" s="250"/>
      <c r="P68" s="250"/>
      <c r="Q68" s="250"/>
      <c r="R68" s="250"/>
      <c r="S68" s="250"/>
      <c r="T68" s="250"/>
      <c r="U68" s="250"/>
      <c r="V68" s="250"/>
      <c r="W68" s="250"/>
      <c r="X68" s="108"/>
      <c r="Y68" s="416"/>
      <c r="Z68" s="108"/>
      <c r="AA68" s="416"/>
      <c r="AB68" s="108"/>
      <c r="AC68" s="416"/>
      <c r="AD68" s="121"/>
      <c r="AE68" s="121"/>
      <c r="AF68" s="121"/>
      <c r="AG68" s="121"/>
      <c r="AH68" s="121"/>
      <c r="AI68" s="121"/>
      <c r="AJ68" s="121"/>
      <c r="AK68" s="119"/>
      <c r="AL68" s="144"/>
      <c r="AM68" s="136"/>
      <c r="AN68" s="88"/>
    </row>
    <row r="69" spans="9:40" ht="20" customHeight="1">
      <c r="I69" s="9"/>
      <c r="S69" s="108"/>
      <c r="T69" s="117"/>
      <c r="U69" s="108"/>
      <c r="V69" s="108"/>
      <c r="W69" s="108"/>
      <c r="X69" s="108"/>
      <c r="Y69" s="416"/>
      <c r="Z69" s="108"/>
      <c r="AA69" s="416"/>
      <c r="AB69" s="108"/>
      <c r="AC69" s="416"/>
      <c r="AD69" s="121"/>
      <c r="AE69" s="121"/>
      <c r="AF69" s="121"/>
      <c r="AG69" s="121"/>
      <c r="AH69" s="121"/>
      <c r="AI69" s="121"/>
      <c r="AJ69" s="121"/>
      <c r="AK69" s="119"/>
      <c r="AL69" s="144"/>
      <c r="AM69" s="136"/>
      <c r="AN69" s="88"/>
    </row>
    <row r="70" spans="9:40" ht="20" customHeight="1">
      <c r="I70" s="9"/>
      <c r="J70" s="67"/>
      <c r="K70" s="108"/>
      <c r="L70" s="108"/>
      <c r="M70" s="108"/>
      <c r="N70" s="108"/>
      <c r="P70" s="108"/>
      <c r="Q70" s="108"/>
      <c r="R70" s="117"/>
      <c r="S70" s="108"/>
      <c r="T70" s="117"/>
      <c r="V70" s="108"/>
      <c r="W70" s="108"/>
      <c r="X70" s="108"/>
      <c r="Y70" s="108"/>
      <c r="Z70" s="108"/>
      <c r="AA70" s="416"/>
      <c r="AB70" s="108"/>
      <c r="AC70" s="416"/>
      <c r="AD70" s="121"/>
      <c r="AE70" s="121"/>
      <c r="AF70" s="121"/>
      <c r="AG70" s="121"/>
      <c r="AH70" s="121"/>
      <c r="AI70" s="121"/>
      <c r="AJ70" s="121"/>
      <c r="AK70" s="119"/>
      <c r="AL70" s="144"/>
      <c r="AM70" s="136"/>
      <c r="AN70" s="88"/>
    </row>
    <row r="71" spans="9:40" ht="20" customHeight="1">
      <c r="I71" s="9"/>
      <c r="J71" s="67"/>
      <c r="K71" s="108"/>
      <c r="L71" s="108"/>
      <c r="M71" s="108"/>
      <c r="N71" s="108"/>
      <c r="P71" s="108"/>
      <c r="Q71" s="108"/>
      <c r="R71" s="108"/>
      <c r="S71" s="108"/>
      <c r="T71" s="108"/>
      <c r="V71" s="108"/>
      <c r="W71" s="108"/>
      <c r="X71" s="108"/>
      <c r="Y71" s="108"/>
      <c r="AD71" s="121"/>
    </row>
    <row r="72" spans="9:40" ht="20" customHeight="1">
      <c r="I72" s="9"/>
      <c r="J72" s="67"/>
      <c r="K72" s="108"/>
      <c r="L72" s="108"/>
      <c r="M72" s="108"/>
      <c r="N72" s="108"/>
      <c r="P72" s="108"/>
      <c r="Q72" s="108"/>
      <c r="R72" s="108"/>
      <c r="S72" s="123"/>
      <c r="T72" s="124"/>
      <c r="V72" s="108"/>
      <c r="W72" s="108"/>
      <c r="X72" s="108"/>
      <c r="Y72" s="108"/>
      <c r="Z72" s="69"/>
      <c r="AA72" s="73"/>
      <c r="AB72" s="73"/>
      <c r="AC72" s="71"/>
      <c r="AD72" s="121"/>
      <c r="AE72" s="71"/>
      <c r="AF72" s="71"/>
      <c r="AG72" s="71"/>
      <c r="AH72" s="71"/>
      <c r="AI72" s="71"/>
      <c r="AJ72" s="71"/>
      <c r="AK72" s="71"/>
      <c r="AL72" s="71"/>
      <c r="AM72" s="71"/>
      <c r="AN72" s="70"/>
    </row>
    <row r="73" spans="9:40" ht="20" customHeight="1">
      <c r="I73" s="9"/>
      <c r="J73" s="67"/>
      <c r="K73" s="108"/>
      <c r="L73" s="108"/>
      <c r="M73" s="108"/>
      <c r="N73" s="108"/>
      <c r="P73" s="108"/>
      <c r="Q73" s="108"/>
      <c r="V73" s="108"/>
      <c r="W73" s="108"/>
      <c r="X73" s="108"/>
      <c r="Y73" s="108"/>
      <c r="Z73" s="69"/>
      <c r="AA73" s="73"/>
      <c r="AB73" s="73"/>
      <c r="AC73" s="73"/>
      <c r="AD73" s="121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9:40" ht="20" customHeight="1">
      <c r="I74" s="9"/>
      <c r="J74" s="67"/>
      <c r="K74" s="108"/>
      <c r="L74" s="108"/>
      <c r="M74" s="108"/>
      <c r="N74" s="108"/>
      <c r="P74" s="108"/>
      <c r="Q74" s="108"/>
      <c r="V74" s="108"/>
      <c r="W74" s="108"/>
      <c r="X74" s="108"/>
      <c r="Z74" s="69"/>
      <c r="AA74" s="69"/>
      <c r="AB74" s="69"/>
      <c r="AC74" s="69"/>
      <c r="AD74" s="121"/>
      <c r="AE74" s="69"/>
      <c r="AF74" s="69"/>
      <c r="AG74" s="69"/>
      <c r="AH74" s="69"/>
      <c r="AI74" s="69"/>
      <c r="AJ74" s="69"/>
      <c r="AK74" s="69"/>
      <c r="AL74" s="69"/>
      <c r="AM74" s="69"/>
      <c r="AN74" s="69"/>
    </row>
    <row r="75" spans="9:40" ht="20" customHeight="1">
      <c r="I75" s="9"/>
      <c r="J75" s="67"/>
      <c r="K75" s="108"/>
      <c r="L75" s="108"/>
      <c r="M75" s="108"/>
      <c r="N75" s="108"/>
      <c r="P75" s="108"/>
      <c r="Q75" s="108"/>
      <c r="R75" s="108"/>
      <c r="V75" s="108"/>
      <c r="W75" s="108"/>
      <c r="X75" s="108"/>
      <c r="Z75" s="69"/>
      <c r="AA75" s="69"/>
      <c r="AB75" s="69"/>
      <c r="AC75" s="69"/>
      <c r="AD75" s="121"/>
      <c r="AE75" s="69"/>
      <c r="AF75" s="69"/>
      <c r="AG75" s="69"/>
      <c r="AH75" s="69"/>
      <c r="AI75" s="69"/>
      <c r="AJ75" s="69"/>
      <c r="AK75" s="69"/>
      <c r="AL75" s="69"/>
      <c r="AM75" s="69"/>
      <c r="AN75" s="69"/>
    </row>
    <row r="76" spans="9:40" ht="20" customHeight="1">
      <c r="I76" s="9"/>
      <c r="J76" s="5"/>
      <c r="K76" s="108"/>
      <c r="L76" s="108"/>
      <c r="M76" s="108"/>
      <c r="N76" s="108"/>
      <c r="P76" s="108"/>
      <c r="Q76" s="108"/>
      <c r="R76" s="108"/>
      <c r="V76" s="108"/>
      <c r="W76" s="108"/>
      <c r="X76" s="108"/>
      <c r="Z76" s="69"/>
      <c r="AA76" s="69"/>
      <c r="AB76" s="69"/>
      <c r="AC76" s="69"/>
      <c r="AD76" s="121"/>
      <c r="AE76" s="69"/>
      <c r="AF76" s="69"/>
      <c r="AG76" s="69"/>
      <c r="AH76" s="69"/>
      <c r="AI76" s="69"/>
      <c r="AJ76" s="69"/>
      <c r="AK76" s="69"/>
      <c r="AL76" s="69"/>
      <c r="AM76" s="69"/>
      <c r="AN76" s="69"/>
    </row>
    <row r="77" spans="9:40" ht="20" customHeight="1">
      <c r="I77" s="9"/>
      <c r="J77" s="5"/>
      <c r="K77" s="108"/>
      <c r="L77" s="108"/>
      <c r="M77" s="108"/>
      <c r="N77" s="108"/>
      <c r="P77" s="108"/>
      <c r="Q77" s="108"/>
      <c r="R77" s="108"/>
      <c r="V77" s="108"/>
      <c r="W77" s="108"/>
      <c r="X77" s="108"/>
      <c r="Z77" s="99"/>
      <c r="AA77" s="73"/>
      <c r="AB77" s="73"/>
      <c r="AC77" s="73"/>
      <c r="AD77" s="121"/>
      <c r="AE77" s="73"/>
      <c r="AF77" s="73"/>
      <c r="AG77" s="73"/>
      <c r="AH77" s="73"/>
      <c r="AI77" s="73"/>
      <c r="AJ77" s="73"/>
      <c r="AK77" s="73"/>
      <c r="AL77" s="73"/>
      <c r="AM77" s="73"/>
      <c r="AN77" s="73"/>
    </row>
    <row r="78" spans="9:40" ht="20" customHeight="1">
      <c r="I78" s="9"/>
      <c r="J78" s="5"/>
      <c r="K78" s="108"/>
      <c r="L78" s="108"/>
      <c r="M78" s="108"/>
      <c r="N78" s="108"/>
      <c r="P78" s="108"/>
      <c r="Q78" s="108"/>
      <c r="R78" s="108"/>
      <c r="V78" s="108"/>
      <c r="W78" s="108"/>
      <c r="X78" s="108"/>
      <c r="AA78" s="73"/>
      <c r="AB78" s="73"/>
      <c r="AC78" s="73"/>
      <c r="AD78" s="121"/>
      <c r="AE78" s="73"/>
      <c r="AF78" s="73"/>
      <c r="AG78" s="73"/>
      <c r="AH78" s="73"/>
      <c r="AI78" s="73"/>
      <c r="AJ78" s="73"/>
      <c r="AK78" s="73"/>
      <c r="AL78" s="73"/>
      <c r="AM78" s="73"/>
      <c r="AN78" s="73"/>
    </row>
    <row r="79" spans="9:40" ht="20" customHeight="1">
      <c r="I79" s="9"/>
      <c r="J79" s="5"/>
      <c r="K79" s="108"/>
      <c r="L79" s="108"/>
      <c r="M79" s="108"/>
      <c r="N79" s="108"/>
      <c r="P79" s="108"/>
      <c r="Q79" s="108"/>
      <c r="R79" s="108"/>
      <c r="V79" s="108"/>
      <c r="W79" s="108"/>
      <c r="X79" s="108"/>
      <c r="AA79" s="73"/>
      <c r="AB79" s="73"/>
      <c r="AC79" s="73"/>
      <c r="AD79" s="121"/>
      <c r="AE79" s="73"/>
      <c r="AF79" s="73"/>
      <c r="AG79" s="73"/>
      <c r="AH79" s="73"/>
      <c r="AI79" s="73"/>
      <c r="AJ79" s="73"/>
      <c r="AK79" s="73"/>
      <c r="AL79" s="73"/>
      <c r="AM79" s="73"/>
      <c r="AN79" s="73"/>
    </row>
    <row r="80" spans="9:40" ht="20" customHeight="1">
      <c r="I80" s="9"/>
      <c r="J80" s="5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20"/>
      <c r="AA80" s="73"/>
      <c r="AB80" s="73"/>
      <c r="AC80" s="73"/>
      <c r="AD80" s="121"/>
      <c r="AE80" s="73"/>
      <c r="AF80" s="73"/>
      <c r="AG80" s="73"/>
      <c r="AH80" s="73"/>
      <c r="AI80" s="73"/>
      <c r="AJ80" s="73"/>
      <c r="AK80" s="73"/>
      <c r="AL80" s="73"/>
      <c r="AM80" s="73"/>
      <c r="AN80" s="73"/>
    </row>
    <row r="81" spans="9:40" ht="20" customHeight="1">
      <c r="I81" s="9"/>
      <c r="J81" s="5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20"/>
      <c r="AA81" s="73"/>
      <c r="AB81" s="73"/>
      <c r="AC81" s="73"/>
      <c r="AD81" s="121"/>
      <c r="AE81" s="73"/>
      <c r="AF81" s="73"/>
      <c r="AG81" s="73"/>
      <c r="AH81" s="73"/>
      <c r="AI81" s="73"/>
      <c r="AJ81" s="73"/>
      <c r="AK81" s="73"/>
      <c r="AL81" s="73"/>
      <c r="AM81" s="73"/>
      <c r="AN81" s="73"/>
    </row>
    <row r="82" spans="9:40" ht="20" customHeight="1">
      <c r="I82" s="9"/>
      <c r="J82" s="5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20"/>
      <c r="AA82" s="73"/>
      <c r="AB82" s="73"/>
      <c r="AC82" s="73"/>
      <c r="AD82" s="121"/>
      <c r="AE82" s="73"/>
      <c r="AF82" s="73"/>
      <c r="AG82" s="73"/>
      <c r="AH82" s="73"/>
      <c r="AI82" s="73"/>
      <c r="AJ82" s="73"/>
      <c r="AK82" s="73"/>
      <c r="AL82" s="73"/>
      <c r="AM82" s="73"/>
      <c r="AN82" s="73"/>
    </row>
    <row r="83" spans="9:40" ht="20" customHeight="1">
      <c r="I83" s="9"/>
      <c r="J83" s="5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20"/>
      <c r="AA83" s="73"/>
      <c r="AB83" s="73"/>
      <c r="AC83" s="73"/>
      <c r="AD83" s="121"/>
      <c r="AE83" s="73"/>
      <c r="AF83" s="73"/>
      <c r="AG83" s="73"/>
      <c r="AH83" s="73"/>
      <c r="AI83" s="73"/>
      <c r="AJ83" s="73"/>
      <c r="AK83" s="73"/>
      <c r="AL83" s="73"/>
      <c r="AM83" s="73"/>
      <c r="AN83" s="73"/>
    </row>
    <row r="84" spans="9:40" ht="20" customHeight="1">
      <c r="I84" s="9"/>
      <c r="J84" s="5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20"/>
      <c r="AA84" s="73"/>
      <c r="AB84" s="73"/>
      <c r="AC84" s="71"/>
      <c r="AD84" s="121"/>
      <c r="AE84" s="71"/>
      <c r="AF84" s="71"/>
      <c r="AG84" s="71"/>
      <c r="AH84" s="71"/>
      <c r="AI84" s="71"/>
      <c r="AJ84" s="71"/>
      <c r="AK84" s="71"/>
      <c r="AL84" s="71"/>
      <c r="AM84" s="71"/>
      <c r="AN84" s="70"/>
    </row>
    <row r="85" spans="9:40" ht="20" customHeight="1">
      <c r="I85" s="9"/>
      <c r="J85" s="5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20"/>
      <c r="AA85" s="73"/>
      <c r="AB85" s="73"/>
      <c r="AC85" s="71"/>
      <c r="AD85" s="121"/>
      <c r="AE85" s="71"/>
      <c r="AF85" s="71"/>
      <c r="AG85" s="71"/>
      <c r="AH85" s="71"/>
      <c r="AI85" s="71"/>
      <c r="AJ85" s="71"/>
      <c r="AK85" s="71"/>
      <c r="AL85" s="71"/>
      <c r="AM85" s="71"/>
      <c r="AN85" s="70"/>
    </row>
    <row r="86" spans="9:40" ht="20" customHeight="1">
      <c r="I86" s="9"/>
      <c r="J86" s="5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28"/>
      <c r="AA86" s="73"/>
      <c r="AB86" s="73"/>
      <c r="AC86" s="71"/>
      <c r="AD86" s="121"/>
      <c r="AE86" s="71"/>
      <c r="AF86" s="71"/>
      <c r="AG86" s="71"/>
      <c r="AH86" s="71"/>
      <c r="AI86" s="71"/>
      <c r="AJ86" s="71"/>
      <c r="AK86" s="71"/>
      <c r="AL86" s="71"/>
      <c r="AM86" s="71"/>
      <c r="AN86" s="70"/>
    </row>
    <row r="87" spans="9:40" ht="20" customHeight="1">
      <c r="I87" s="9"/>
      <c r="J87" s="5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AA87" s="73"/>
      <c r="AB87" s="73"/>
      <c r="AC87" s="71"/>
      <c r="AD87" s="121"/>
      <c r="AE87" s="71"/>
      <c r="AF87" s="71"/>
      <c r="AG87" s="71"/>
      <c r="AH87" s="71"/>
      <c r="AI87" s="71"/>
      <c r="AJ87" s="71"/>
      <c r="AK87" s="71"/>
      <c r="AL87" s="71"/>
      <c r="AM87" s="71"/>
      <c r="AN87" s="70"/>
    </row>
    <row r="88" spans="9:40" ht="20" customHeight="1">
      <c r="I88" s="9"/>
      <c r="J88" s="5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AA88" s="73"/>
      <c r="AB88" s="73"/>
      <c r="AC88" s="71"/>
      <c r="AD88" s="121"/>
      <c r="AE88" s="71"/>
      <c r="AF88" s="71"/>
      <c r="AG88" s="71"/>
      <c r="AH88" s="71"/>
      <c r="AI88" s="71"/>
      <c r="AJ88" s="71"/>
      <c r="AK88" s="71"/>
      <c r="AL88" s="71"/>
      <c r="AM88" s="71"/>
      <c r="AN88" s="70"/>
    </row>
    <row r="89" spans="9:40" ht="20" customHeight="1">
      <c r="I89" s="9"/>
      <c r="J89" s="33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AA89" s="73"/>
      <c r="AB89" s="73"/>
      <c r="AC89" s="71"/>
      <c r="AD89" s="121"/>
      <c r="AE89" s="71"/>
      <c r="AF89" s="71"/>
      <c r="AG89" s="71"/>
      <c r="AH89" s="71"/>
      <c r="AI89" s="71"/>
      <c r="AJ89" s="71"/>
      <c r="AK89" s="71"/>
      <c r="AL89" s="71"/>
      <c r="AM89" s="71"/>
      <c r="AN89" s="70"/>
    </row>
    <row r="90" spans="9:40" ht="20" customHeight="1">
      <c r="I90" s="9"/>
      <c r="J90" s="33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AA90" s="73"/>
      <c r="AB90" s="73"/>
      <c r="AC90" s="71"/>
      <c r="AD90" s="121"/>
      <c r="AE90" s="71"/>
      <c r="AF90" s="71"/>
      <c r="AG90" s="71"/>
      <c r="AH90" s="71"/>
      <c r="AI90" s="71"/>
      <c r="AJ90" s="71"/>
      <c r="AK90" s="71"/>
      <c r="AL90" s="71"/>
      <c r="AM90" s="71"/>
      <c r="AN90" s="70"/>
    </row>
    <row r="91" spans="9:40" ht="20" customHeight="1">
      <c r="I91" s="9"/>
      <c r="J91" s="5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AA91" s="73"/>
      <c r="AB91" s="73"/>
      <c r="AC91" s="71"/>
      <c r="AD91" s="121"/>
      <c r="AE91" s="71"/>
      <c r="AF91" s="71"/>
      <c r="AG91" s="71"/>
      <c r="AH91" s="71"/>
      <c r="AI91" s="71"/>
      <c r="AJ91" s="71"/>
      <c r="AK91" s="71"/>
      <c r="AL91" s="71"/>
      <c r="AM91" s="71"/>
      <c r="AN91" s="70"/>
    </row>
    <row r="92" spans="9:40" ht="19" customHeight="1">
      <c r="I92" s="9"/>
      <c r="J92" s="5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9"/>
      <c r="AA92" s="73"/>
      <c r="AB92" s="73"/>
      <c r="AC92" s="71"/>
      <c r="AD92" s="121"/>
      <c r="AE92" s="71"/>
      <c r="AF92" s="71"/>
      <c r="AG92" s="71"/>
      <c r="AH92" s="71"/>
      <c r="AI92" s="71"/>
      <c r="AJ92" s="71"/>
      <c r="AK92" s="71"/>
      <c r="AL92" s="71"/>
      <c r="AM92" s="71"/>
      <c r="AN92" s="70"/>
    </row>
    <row r="93" spans="9:40" ht="19" customHeight="1">
      <c r="I93" s="9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9"/>
      <c r="AA93" s="73"/>
      <c r="AB93" s="73"/>
      <c r="AC93" s="71"/>
      <c r="AD93" s="121"/>
      <c r="AE93" s="71"/>
      <c r="AF93" s="71"/>
      <c r="AG93" s="71"/>
      <c r="AH93" s="71"/>
      <c r="AI93" s="71"/>
      <c r="AJ93" s="71"/>
      <c r="AK93" s="71"/>
      <c r="AL93" s="71"/>
      <c r="AM93" s="71"/>
      <c r="AN93" s="70"/>
    </row>
    <row r="94" spans="9:40" ht="19" customHeight="1">
      <c r="I94" s="9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9"/>
      <c r="AA94" s="73"/>
      <c r="AB94" s="73"/>
      <c r="AC94" s="71"/>
      <c r="AD94" s="121"/>
      <c r="AE94" s="71"/>
      <c r="AF94" s="71"/>
      <c r="AG94" s="71"/>
      <c r="AH94" s="71"/>
      <c r="AI94" s="71"/>
      <c r="AJ94" s="71"/>
      <c r="AK94" s="71"/>
      <c r="AL94" s="71"/>
      <c r="AM94" s="71"/>
      <c r="AN94" s="70"/>
    </row>
    <row r="95" spans="9:40" ht="19" customHeight="1">
      <c r="I95" s="9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9"/>
      <c r="AA95" s="73"/>
      <c r="AB95" s="73"/>
      <c r="AC95" s="71"/>
      <c r="AD95" s="121"/>
      <c r="AE95" s="71"/>
      <c r="AF95" s="71"/>
      <c r="AG95" s="71"/>
      <c r="AH95" s="71"/>
      <c r="AI95" s="71"/>
      <c r="AJ95" s="71"/>
      <c r="AK95" s="71"/>
      <c r="AL95" s="71"/>
      <c r="AM95" s="71"/>
      <c r="AN95" s="70"/>
    </row>
    <row r="96" spans="9:40" ht="19" customHeight="1">
      <c r="I96" s="9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9"/>
      <c r="AA96" s="73"/>
      <c r="AB96" s="73"/>
      <c r="AC96" s="71"/>
      <c r="AD96" s="121"/>
      <c r="AE96" s="71"/>
      <c r="AF96" s="71"/>
      <c r="AG96" s="71"/>
      <c r="AH96" s="71"/>
      <c r="AI96" s="71"/>
      <c r="AJ96" s="71"/>
      <c r="AK96" s="71"/>
      <c r="AL96" s="71"/>
      <c r="AM96" s="71"/>
      <c r="AN96" s="70"/>
    </row>
    <row r="97" spans="9:40" ht="19" customHeight="1">
      <c r="I97" s="9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0"/>
      <c r="AA97" s="73"/>
      <c r="AB97" s="73"/>
      <c r="AC97" s="71"/>
      <c r="AD97" s="121"/>
      <c r="AE97" s="71"/>
      <c r="AF97" s="71"/>
      <c r="AG97" s="71"/>
      <c r="AH97" s="71"/>
      <c r="AI97" s="71"/>
      <c r="AJ97" s="71"/>
      <c r="AK97" s="71"/>
      <c r="AL97" s="71"/>
      <c r="AM97" s="71"/>
      <c r="AN97" s="70"/>
    </row>
    <row r="98" spans="9:40" ht="19" customHeight="1">
      <c r="I98" s="9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21"/>
      <c r="AA98" s="73"/>
      <c r="AB98" s="73"/>
      <c r="AC98" s="71"/>
      <c r="AD98" s="121"/>
      <c r="AE98" s="71"/>
      <c r="AF98" s="71"/>
      <c r="AG98" s="71"/>
      <c r="AH98" s="71"/>
      <c r="AI98" s="71"/>
      <c r="AJ98" s="71"/>
      <c r="AK98" s="71"/>
      <c r="AL98" s="71"/>
      <c r="AM98" s="71"/>
      <c r="AN98" s="70"/>
    </row>
    <row r="99" spans="9:40" ht="19" customHeight="1">
      <c r="I99" s="9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20"/>
      <c r="AA99" s="73"/>
      <c r="AB99" s="73"/>
      <c r="AC99" s="71"/>
      <c r="AD99" s="121"/>
      <c r="AE99" s="71"/>
      <c r="AF99" s="71"/>
      <c r="AG99" s="71"/>
      <c r="AH99" s="71"/>
      <c r="AI99" s="71"/>
      <c r="AJ99" s="71"/>
      <c r="AK99" s="71"/>
      <c r="AL99" s="71"/>
      <c r="AM99" s="71"/>
      <c r="AN99" s="70"/>
    </row>
    <row r="100" spans="9:40" ht="15" customHeight="1">
      <c r="I100" s="9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AA100" s="73"/>
      <c r="AB100" s="73"/>
      <c r="AC100" s="71"/>
      <c r="AD100" s="12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0"/>
    </row>
    <row r="101" spans="9:40" ht="15" customHeight="1">
      <c r="I101" s="9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AA101" s="73"/>
      <c r="AB101" s="73"/>
      <c r="AC101" s="71"/>
      <c r="AD101" s="12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0"/>
    </row>
    <row r="102" spans="9:40" ht="15" customHeight="1">
      <c r="I102" s="9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AA102" s="73"/>
      <c r="AB102" s="73"/>
      <c r="AC102" s="71"/>
      <c r="AD102" s="12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0"/>
    </row>
    <row r="103" spans="9:40" ht="15" customHeight="1">
      <c r="I103" s="9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AA103" s="73"/>
      <c r="AB103" s="73"/>
      <c r="AC103" s="71"/>
      <c r="AD103" s="12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0"/>
    </row>
    <row r="104" spans="9:40" ht="15" customHeight="1">
      <c r="I104" s="9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20"/>
      <c r="AA104" s="73"/>
      <c r="AB104" s="73"/>
      <c r="AC104" s="71"/>
      <c r="AD104" s="12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0"/>
    </row>
    <row r="105" spans="9:40" ht="15" customHeight="1">
      <c r="I105" s="9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20"/>
      <c r="AA105" s="73"/>
      <c r="AB105" s="73"/>
      <c r="AC105" s="71"/>
      <c r="AD105" s="12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0"/>
    </row>
    <row r="106" spans="9:40" ht="15" customHeight="1">
      <c r="I106" s="9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20"/>
      <c r="AA106" s="73"/>
      <c r="AB106" s="73"/>
      <c r="AC106" s="71"/>
      <c r="AD106" s="12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0"/>
    </row>
    <row r="107" spans="9:40" ht="15" customHeight="1">
      <c r="I107" s="9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20"/>
      <c r="Z107" s="69"/>
      <c r="AA107" s="73"/>
      <c r="AB107" s="73"/>
      <c r="AC107" s="71"/>
      <c r="AD107" s="12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0"/>
    </row>
    <row r="108" spans="9:40" ht="15" customHeight="1">
      <c r="I108" s="9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20"/>
      <c r="Z108" s="69"/>
      <c r="AA108" s="73"/>
      <c r="AB108" s="73"/>
      <c r="AC108" s="71"/>
      <c r="AD108" s="12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0"/>
    </row>
    <row r="109" spans="9:40" ht="15" customHeight="1">
      <c r="I109" s="9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20"/>
      <c r="Z109" s="69"/>
      <c r="AA109" s="73"/>
      <c r="AB109" s="73"/>
      <c r="AC109" s="71"/>
      <c r="AD109" s="12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0"/>
    </row>
    <row r="110" spans="9:40" ht="15" customHeight="1">
      <c r="I110" s="9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20"/>
      <c r="Z110" s="69"/>
      <c r="AA110" s="73"/>
      <c r="AB110" s="73"/>
      <c r="AC110" s="71"/>
      <c r="AD110" s="12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0"/>
    </row>
    <row r="111" spans="9:40" ht="15" customHeight="1">
      <c r="I111" s="9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20"/>
      <c r="Z111" s="69"/>
      <c r="AA111" s="73"/>
      <c r="AB111" s="73"/>
      <c r="AC111" s="71"/>
      <c r="AD111" s="12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0"/>
    </row>
    <row r="112" spans="9:40" ht="15" customHeight="1">
      <c r="I112" s="9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20"/>
      <c r="Z112" s="69"/>
      <c r="AA112" s="73"/>
      <c r="AB112" s="73"/>
      <c r="AC112" s="71"/>
      <c r="AD112" s="12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0"/>
    </row>
    <row r="113" spans="2:40" ht="15" customHeight="1">
      <c r="I113" s="9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20"/>
      <c r="Z113" s="69"/>
      <c r="AA113" s="73"/>
      <c r="AB113" s="73"/>
      <c r="AC113" s="71"/>
      <c r="AD113" s="12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0"/>
    </row>
    <row r="114" spans="2:40" ht="15" customHeight="1">
      <c r="I114" s="9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20"/>
      <c r="Z114" s="69"/>
      <c r="AA114" s="73"/>
      <c r="AB114" s="73"/>
      <c r="AC114" s="71"/>
      <c r="AD114" s="12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0"/>
    </row>
    <row r="115" spans="2:40" ht="15" customHeight="1">
      <c r="I115" s="9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20"/>
      <c r="Z115" s="69"/>
      <c r="AA115" s="73"/>
      <c r="AB115" s="73"/>
      <c r="AC115" s="71"/>
      <c r="AD115" s="12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0"/>
    </row>
    <row r="116" spans="2:40" ht="15" customHeight="1">
      <c r="I116" s="9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20"/>
      <c r="Z116" s="69"/>
      <c r="AA116" s="73"/>
      <c r="AB116" s="73"/>
      <c r="AC116" s="71"/>
      <c r="AD116" s="12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0"/>
    </row>
    <row r="117" spans="2:40" ht="15" customHeight="1">
      <c r="I117" s="9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20"/>
      <c r="Z117" s="69"/>
      <c r="AA117" s="73"/>
      <c r="AB117" s="73"/>
      <c r="AC117" s="71"/>
      <c r="AD117" s="12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0"/>
    </row>
    <row r="118" spans="2:40" ht="15" customHeight="1">
      <c r="I118" s="9"/>
      <c r="J118" s="9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20"/>
      <c r="Z118" s="69"/>
      <c r="AA118" s="73"/>
      <c r="AB118" s="73"/>
      <c r="AC118" s="71"/>
      <c r="AD118" s="12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0"/>
    </row>
    <row r="119" spans="2:40" ht="15" customHeight="1">
      <c r="I119" s="9"/>
      <c r="J119" s="9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20"/>
      <c r="Z119" s="69"/>
      <c r="AA119" s="73"/>
      <c r="AB119" s="73"/>
      <c r="AC119" s="71"/>
      <c r="AD119" s="12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0"/>
    </row>
    <row r="120" spans="2:40" ht="15" customHeight="1">
      <c r="I120" s="9"/>
      <c r="J120" s="9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20"/>
      <c r="Z120" s="69"/>
      <c r="AA120" s="73"/>
      <c r="AB120" s="73"/>
      <c r="AC120" s="71"/>
      <c r="AD120" s="12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0"/>
    </row>
    <row r="121" spans="2:40" ht="15" customHeight="1">
      <c r="I121" s="9"/>
      <c r="J121" s="9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20"/>
      <c r="Z121" s="69"/>
      <c r="AA121" s="73"/>
      <c r="AB121" s="73"/>
      <c r="AC121" s="71"/>
      <c r="AD121" s="12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0"/>
    </row>
    <row r="122" spans="2:40" ht="15" customHeight="1">
      <c r="B122" s="12"/>
      <c r="C122" s="12"/>
      <c r="D122" s="12"/>
      <c r="E122" s="12"/>
      <c r="F122" s="12"/>
      <c r="G122" s="12"/>
      <c r="H122" s="12"/>
      <c r="J122" s="9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20"/>
      <c r="Z122" s="69"/>
      <c r="AA122" s="73"/>
      <c r="AB122" s="73"/>
      <c r="AC122" s="71"/>
      <c r="AD122" s="12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0"/>
    </row>
    <row r="123" spans="2:40" ht="15" customHeight="1">
      <c r="B123" s="12"/>
      <c r="C123" s="12"/>
      <c r="D123" s="12"/>
      <c r="E123" s="12"/>
      <c r="F123" s="12"/>
      <c r="G123" s="12"/>
      <c r="H123" s="12"/>
      <c r="J123" s="9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20"/>
      <c r="Z123" s="69"/>
      <c r="AA123" s="73"/>
      <c r="AB123" s="73"/>
      <c r="AC123" s="71"/>
      <c r="AD123" s="12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0"/>
    </row>
    <row r="124" spans="2:40" ht="15" customHeight="1">
      <c r="B124" s="12"/>
      <c r="C124" s="12"/>
      <c r="D124" s="12"/>
      <c r="E124" s="12"/>
      <c r="F124" s="12"/>
      <c r="G124" s="12"/>
      <c r="H124" s="12"/>
      <c r="J124" s="9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20"/>
      <c r="Z124" s="69"/>
      <c r="AA124" s="73"/>
      <c r="AB124" s="73"/>
      <c r="AC124" s="71"/>
      <c r="AD124" s="12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0"/>
    </row>
    <row r="125" spans="2:40" ht="15" customHeight="1">
      <c r="B125" s="12"/>
      <c r="C125" s="12"/>
      <c r="D125" s="12"/>
      <c r="E125" s="12"/>
      <c r="F125" s="12"/>
      <c r="G125" s="12"/>
      <c r="H125" s="12"/>
      <c r="J125" s="9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20"/>
      <c r="Z125" s="69"/>
      <c r="AA125" s="73"/>
      <c r="AB125" s="73"/>
      <c r="AC125" s="71"/>
      <c r="AD125" s="12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0"/>
    </row>
    <row r="126" spans="2:40" ht="15" customHeight="1">
      <c r="B126" s="12"/>
      <c r="C126" s="12"/>
      <c r="D126" s="12"/>
      <c r="E126" s="12"/>
      <c r="F126" s="12"/>
      <c r="G126" s="12"/>
      <c r="H126" s="12"/>
      <c r="J126" s="9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20"/>
      <c r="Z126" s="69"/>
      <c r="AA126" s="73"/>
      <c r="AB126" s="73"/>
      <c r="AC126" s="71"/>
      <c r="AD126" s="12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0"/>
    </row>
    <row r="127" spans="2:40" ht="15" customHeight="1">
      <c r="B127" s="12"/>
      <c r="C127" s="12"/>
      <c r="D127" s="12"/>
      <c r="E127" s="12"/>
      <c r="F127" s="12"/>
      <c r="G127" s="12"/>
      <c r="H127" s="12"/>
      <c r="J127" s="9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20"/>
      <c r="Z127" s="69"/>
      <c r="AA127" s="73"/>
      <c r="AB127" s="73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0"/>
    </row>
    <row r="128" spans="2:40" ht="15" customHeight="1">
      <c r="B128" s="12"/>
      <c r="C128" s="12"/>
      <c r="D128" s="12"/>
      <c r="E128" s="12"/>
      <c r="F128" s="12"/>
      <c r="G128" s="12"/>
      <c r="H128" s="12"/>
      <c r="J128" s="9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20"/>
      <c r="Z128" s="69"/>
      <c r="AA128" s="73"/>
      <c r="AB128" s="73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0"/>
    </row>
    <row r="129" spans="2:40" ht="15" customHeight="1">
      <c r="B129" s="12"/>
      <c r="C129" s="12"/>
      <c r="D129" s="12"/>
      <c r="E129" s="12"/>
      <c r="F129" s="12"/>
      <c r="G129" s="12"/>
      <c r="H129" s="12"/>
      <c r="I129" s="9"/>
      <c r="J129" s="9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20"/>
      <c r="Z129" s="69"/>
      <c r="AA129" s="73"/>
      <c r="AB129" s="73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0"/>
    </row>
    <row r="130" spans="2:40" ht="15" customHeight="1">
      <c r="B130" s="12"/>
      <c r="C130" s="12"/>
      <c r="D130" s="12"/>
      <c r="E130" s="12"/>
      <c r="F130" s="12"/>
      <c r="G130" s="12"/>
      <c r="H130" s="12"/>
      <c r="I130" s="9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20"/>
      <c r="Z130" s="69"/>
      <c r="AA130" s="73"/>
      <c r="AB130" s="73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0"/>
    </row>
    <row r="131" spans="2:40" ht="15" customHeight="1">
      <c r="B131" s="12"/>
      <c r="C131" s="12"/>
      <c r="D131" s="12"/>
      <c r="E131" s="12"/>
      <c r="F131" s="12"/>
      <c r="G131" s="12"/>
      <c r="H131" s="12"/>
      <c r="I131" s="9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20"/>
      <c r="Z131" s="69"/>
      <c r="AA131" s="73"/>
      <c r="AB131" s="73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0"/>
    </row>
    <row r="132" spans="2:40" ht="15" customHeight="1">
      <c r="B132" s="12"/>
      <c r="C132" s="12"/>
      <c r="D132" s="12"/>
      <c r="E132" s="12"/>
      <c r="F132" s="12"/>
      <c r="G132" s="12"/>
      <c r="H132" s="12"/>
      <c r="I132" s="9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20"/>
      <c r="Z132" s="69"/>
      <c r="AA132" s="73"/>
      <c r="AB132" s="73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0"/>
    </row>
    <row r="133" spans="2:40" ht="15" customHeight="1">
      <c r="B133" s="12"/>
      <c r="C133" s="12"/>
      <c r="D133" s="12"/>
      <c r="E133" s="12"/>
      <c r="F133" s="12"/>
      <c r="G133" s="12"/>
      <c r="H133" s="12"/>
      <c r="I133" s="9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20"/>
      <c r="Z133" s="69"/>
      <c r="AA133" s="73"/>
      <c r="AB133" s="73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0"/>
    </row>
    <row r="134" spans="2:40" ht="15" customHeight="1">
      <c r="B134" s="12"/>
      <c r="C134" s="12"/>
      <c r="D134" s="12"/>
      <c r="E134" s="12"/>
      <c r="F134" s="12"/>
      <c r="G134" s="12"/>
      <c r="H134" s="12"/>
      <c r="I134" s="9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20"/>
      <c r="Z134" s="69"/>
      <c r="AA134" s="73"/>
      <c r="AB134" s="73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0"/>
    </row>
    <row r="135" spans="2:40" ht="15" customHeight="1">
      <c r="I135" s="9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20"/>
      <c r="Z135" s="69"/>
      <c r="AA135" s="73"/>
      <c r="AB135" s="73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0"/>
    </row>
    <row r="136" spans="2:40" ht="15" customHeight="1"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20"/>
      <c r="Z136" s="69"/>
      <c r="AA136" s="73"/>
      <c r="AB136" s="73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0"/>
    </row>
    <row r="137" spans="2:40" ht="15" customHeight="1"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20"/>
      <c r="Z137" s="69"/>
      <c r="AA137" s="73"/>
      <c r="AB137" s="73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0"/>
    </row>
    <row r="138" spans="2:40" ht="15" customHeight="1"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20"/>
      <c r="Z138" s="69"/>
      <c r="AA138" s="73"/>
      <c r="AB138" s="73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0"/>
    </row>
    <row r="139" spans="2:40" ht="15" customHeight="1"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20"/>
      <c r="Z139" s="69"/>
      <c r="AA139" s="73"/>
      <c r="AB139" s="73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0"/>
    </row>
    <row r="140" spans="2:40" ht="15" customHeight="1"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20"/>
      <c r="Z140" s="69"/>
      <c r="AA140" s="73"/>
      <c r="AB140" s="73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0"/>
    </row>
    <row r="141" spans="2:40" ht="15" customHeight="1"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20"/>
      <c r="Z141" s="69"/>
      <c r="AA141" s="73"/>
      <c r="AB141" s="73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0"/>
    </row>
    <row r="142" spans="2:40" ht="15" customHeight="1"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20"/>
      <c r="Z142" s="69"/>
      <c r="AA142" s="73"/>
      <c r="AB142" s="73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0"/>
    </row>
    <row r="143" spans="2:40" ht="15" customHeight="1"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20"/>
      <c r="Z143" s="69"/>
      <c r="AA143" s="73"/>
      <c r="AB143" s="73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0"/>
    </row>
    <row r="144" spans="2:40" ht="15" customHeight="1"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20"/>
      <c r="Z144" s="69"/>
      <c r="AA144" s="73"/>
      <c r="AB144" s="73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0"/>
    </row>
    <row r="145" spans="2:40" ht="15" customHeight="1">
      <c r="B145" s="13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20"/>
      <c r="Z145" s="69"/>
      <c r="AA145" s="73"/>
      <c r="AB145" s="73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0"/>
    </row>
    <row r="146" spans="2:40" ht="15" customHeight="1">
      <c r="B146" s="1"/>
      <c r="C146" s="1"/>
      <c r="D146" s="1"/>
      <c r="E146" s="1"/>
      <c r="F146" s="1"/>
      <c r="G146" s="1"/>
      <c r="H146" s="1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20"/>
      <c r="Z146" s="69"/>
      <c r="AA146" s="73"/>
      <c r="AB146" s="73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0"/>
    </row>
    <row r="147" spans="2:40" ht="15" customHeight="1">
      <c r="B147" s="1"/>
      <c r="C147" s="1"/>
      <c r="D147" s="1"/>
      <c r="E147" s="1"/>
      <c r="F147" s="1"/>
      <c r="G147" s="1"/>
      <c r="H147" s="1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20"/>
      <c r="Z147" s="69"/>
      <c r="AA147" s="73"/>
      <c r="AB147" s="73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0"/>
    </row>
    <row r="148" spans="2:40" ht="15" customHeight="1">
      <c r="B148" s="1"/>
      <c r="C148" s="1"/>
      <c r="D148" s="1"/>
      <c r="E148" s="1"/>
      <c r="F148" s="1"/>
      <c r="G148" s="1"/>
      <c r="H148" s="1"/>
      <c r="J148" s="7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20"/>
      <c r="Z148" s="69"/>
      <c r="AA148" s="73"/>
      <c r="AB148" s="73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0"/>
    </row>
    <row r="149" spans="2:40" ht="15" customHeight="1">
      <c r="B149" s="1"/>
      <c r="C149" s="1"/>
      <c r="D149" s="1"/>
      <c r="E149" s="1"/>
      <c r="F149" s="1"/>
      <c r="G149" s="1"/>
      <c r="H149" s="1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20"/>
      <c r="Z149" s="69"/>
      <c r="AA149" s="73"/>
      <c r="AB149" s="73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0"/>
    </row>
    <row r="150" spans="2:40" ht="15" customHeight="1">
      <c r="B150" s="1"/>
      <c r="C150" s="1"/>
      <c r="D150" s="1"/>
      <c r="E150" s="1"/>
      <c r="F150" s="1"/>
      <c r="G150" s="1"/>
      <c r="H150" s="1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20"/>
      <c r="Z150" s="69"/>
      <c r="AA150" s="73"/>
      <c r="AB150" s="73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0"/>
    </row>
    <row r="151" spans="2:40" ht="15" customHeight="1">
      <c r="B151" s="1"/>
      <c r="C151" s="1"/>
      <c r="D151" s="1"/>
      <c r="E151" s="1"/>
      <c r="F151" s="1"/>
      <c r="G151" s="1"/>
      <c r="H151" s="1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20"/>
      <c r="Z151" s="69"/>
      <c r="AA151" s="73"/>
      <c r="AB151" s="73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0"/>
    </row>
    <row r="152" spans="2:40" ht="15" customHeight="1">
      <c r="B152" s="1"/>
      <c r="C152" s="1"/>
      <c r="D152" s="1"/>
      <c r="E152" s="1"/>
      <c r="F152" s="1"/>
      <c r="G152" s="1"/>
      <c r="H152" s="1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20"/>
      <c r="Z152" s="69"/>
      <c r="AA152" s="73"/>
      <c r="AB152" s="73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0"/>
    </row>
    <row r="153" spans="2:40" ht="15" customHeight="1">
      <c r="D153" s="10"/>
      <c r="G153" s="10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20"/>
      <c r="Z153" s="69"/>
      <c r="AA153" s="73"/>
      <c r="AB153" s="73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0"/>
    </row>
    <row r="154" spans="2:40" ht="15" customHeight="1"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20"/>
      <c r="Z154" s="69"/>
      <c r="AA154" s="73"/>
      <c r="AB154" s="73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0"/>
    </row>
    <row r="155" spans="2:40" ht="15" customHeight="1">
      <c r="B155" s="13"/>
      <c r="C155" s="1"/>
      <c r="D155" s="1"/>
      <c r="E155" s="1"/>
      <c r="F155" s="1"/>
      <c r="G155" s="1"/>
      <c r="H155" s="1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20"/>
      <c r="Z155" s="69"/>
      <c r="AA155" s="73"/>
      <c r="AB155" s="73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0"/>
    </row>
    <row r="156" spans="2:40" ht="15" customHeight="1">
      <c r="B156" s="4"/>
      <c r="C156" s="4"/>
      <c r="D156" s="4"/>
      <c r="E156" s="4"/>
      <c r="F156" s="4"/>
      <c r="G156" s="4"/>
      <c r="H156" s="4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20"/>
      <c r="Z156" s="69"/>
      <c r="AA156" s="73"/>
      <c r="AB156" s="73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0"/>
    </row>
    <row r="157" spans="2:40" ht="15" customHeight="1">
      <c r="B157" s="14"/>
      <c r="H157" s="4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20"/>
      <c r="Z157" s="69"/>
      <c r="AA157" s="73"/>
      <c r="AB157" s="73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0"/>
    </row>
    <row r="158" spans="2:40" ht="15" customHeight="1"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20"/>
      <c r="Z158" s="69"/>
      <c r="AA158" s="73"/>
      <c r="AB158" s="73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0"/>
    </row>
    <row r="159" spans="2:40" ht="15" customHeight="1"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20"/>
      <c r="Z159" s="69"/>
      <c r="AA159" s="73"/>
      <c r="AB159" s="73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0"/>
    </row>
    <row r="160" spans="2:40" ht="15" customHeight="1"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20"/>
      <c r="Z160" s="69"/>
      <c r="AA160" s="73"/>
      <c r="AB160" s="73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0"/>
    </row>
    <row r="161" spans="1:40" ht="15" customHeight="1"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20"/>
      <c r="Z161" s="69"/>
      <c r="AA161" s="73"/>
      <c r="AB161" s="73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0"/>
    </row>
    <row r="162" spans="1:40" ht="15" customHeight="1"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20"/>
      <c r="Z162" s="69"/>
      <c r="AA162" s="73"/>
      <c r="AB162" s="73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0"/>
    </row>
    <row r="163" spans="1:40" ht="15" customHeight="1"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20"/>
      <c r="Z163" s="69"/>
      <c r="AA163" s="73"/>
      <c r="AB163" s="73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0"/>
    </row>
    <row r="164" spans="1:40" ht="15" customHeight="1"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20"/>
      <c r="Z164" s="69"/>
      <c r="AA164" s="73"/>
      <c r="AB164" s="73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0"/>
    </row>
    <row r="165" spans="1:40" ht="15" customHeight="1"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20"/>
      <c r="Z165" s="69"/>
      <c r="AA165" s="73"/>
      <c r="AB165" s="73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0"/>
    </row>
    <row r="166" spans="1:40" ht="15" customHeight="1"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20"/>
      <c r="Z166" s="69"/>
      <c r="AA166" s="73"/>
      <c r="AB166" s="73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0"/>
    </row>
    <row r="167" spans="1:40" ht="15" customHeight="1"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20"/>
      <c r="Z167" s="69"/>
      <c r="AA167" s="73"/>
      <c r="AB167" s="73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0"/>
    </row>
    <row r="168" spans="1:40" ht="15" customHeight="1"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20"/>
      <c r="Z168" s="69"/>
      <c r="AA168" s="73"/>
      <c r="AB168" s="73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0"/>
    </row>
    <row r="169" spans="1:40" ht="15" customHeight="1"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20"/>
      <c r="Z169" s="69"/>
      <c r="AA169" s="73"/>
      <c r="AB169" s="73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0"/>
    </row>
    <row r="170" spans="1:40" ht="15" customHeight="1"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20"/>
      <c r="Z170" s="69"/>
      <c r="AA170" s="73"/>
      <c r="AB170" s="73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0"/>
    </row>
    <row r="171" spans="1:40" ht="15" customHeight="1"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20"/>
      <c r="Z171" s="69"/>
      <c r="AA171" s="73"/>
      <c r="AB171" s="73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0"/>
    </row>
    <row r="172" spans="1:40" ht="15" customHeight="1"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20"/>
      <c r="Z172" s="69"/>
      <c r="AA172" s="73"/>
      <c r="AB172" s="73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0"/>
    </row>
    <row r="173" spans="1:40" ht="15" customHeight="1">
      <c r="D173" s="1"/>
      <c r="E173" s="1"/>
      <c r="F173" s="1"/>
      <c r="G173" s="1"/>
      <c r="H173" s="1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20"/>
      <c r="Z173" s="69"/>
      <c r="AA173" s="73"/>
      <c r="AB173" s="73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0"/>
    </row>
    <row r="174" spans="1:40" ht="15" customHeight="1">
      <c r="A174" s="1"/>
      <c r="D174" s="1"/>
      <c r="E174" s="1"/>
      <c r="F174" s="1"/>
      <c r="G174" s="1"/>
      <c r="H174" s="1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20"/>
      <c r="Z174" s="69"/>
      <c r="AA174" s="73"/>
      <c r="AB174" s="73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0"/>
    </row>
    <row r="175" spans="1:40" ht="15" customHeight="1">
      <c r="A175" s="1"/>
      <c r="D175" s="1"/>
      <c r="E175" s="1"/>
      <c r="F175" s="1"/>
      <c r="G175" s="1"/>
      <c r="H175" s="1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20"/>
      <c r="Z175" s="69"/>
      <c r="AA175" s="73"/>
      <c r="AB175" s="73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0"/>
    </row>
    <row r="176" spans="1:40" ht="15" customHeight="1">
      <c r="A176" s="1"/>
      <c r="D176" s="1"/>
      <c r="E176" s="1"/>
      <c r="F176" s="1"/>
      <c r="G176" s="1"/>
      <c r="H176" s="1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20"/>
      <c r="Z176" s="69"/>
      <c r="AA176" s="73"/>
      <c r="AB176" s="73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0"/>
    </row>
    <row r="177" spans="1:40" ht="15" customHeight="1">
      <c r="A177" s="1"/>
      <c r="D177" s="1"/>
      <c r="E177" s="1"/>
      <c r="F177" s="1"/>
      <c r="G177" s="1"/>
      <c r="H177" s="1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20"/>
      <c r="Z177" s="69"/>
      <c r="AA177" s="73"/>
      <c r="AB177" s="73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0"/>
    </row>
    <row r="178" spans="1:40" ht="15" customHeight="1">
      <c r="A178" s="1"/>
      <c r="D178" s="1"/>
      <c r="E178" s="1"/>
      <c r="F178" s="1"/>
      <c r="G178" s="1"/>
      <c r="H178" s="1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20"/>
      <c r="Z178" s="69"/>
      <c r="AA178" s="73"/>
      <c r="AB178" s="73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0"/>
    </row>
    <row r="179" spans="1:40" ht="15" customHeight="1">
      <c r="A179" s="1"/>
      <c r="D179" s="1"/>
      <c r="E179" s="1"/>
      <c r="F179" s="1"/>
      <c r="G179" s="1"/>
      <c r="H179" s="1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20"/>
      <c r="Z179" s="69"/>
      <c r="AA179" s="73"/>
      <c r="AB179" s="73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0"/>
    </row>
    <row r="180" spans="1:40" ht="15" customHeight="1">
      <c r="A180" s="1"/>
      <c r="D180" s="1"/>
      <c r="E180" s="1"/>
      <c r="F180" s="1"/>
      <c r="G180" s="1"/>
      <c r="H180" s="1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20"/>
      <c r="Z180" s="69"/>
      <c r="AA180" s="73"/>
      <c r="AB180" s="73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0"/>
    </row>
    <row r="181" spans="1:40" ht="15" customHeight="1">
      <c r="D181" s="1"/>
      <c r="E181" s="1"/>
      <c r="F181" s="1"/>
      <c r="G181" s="1"/>
      <c r="H181" s="1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20"/>
      <c r="Z181" s="69"/>
      <c r="AA181" s="73"/>
      <c r="AB181" s="73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0"/>
    </row>
    <row r="182" spans="1:40" ht="15" customHeight="1">
      <c r="D182" s="1"/>
      <c r="E182" s="1"/>
      <c r="F182" s="1"/>
      <c r="G182" s="1"/>
      <c r="H182" s="1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20"/>
      <c r="Z182" s="69"/>
      <c r="AA182" s="73"/>
      <c r="AB182" s="73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0"/>
    </row>
    <row r="183" spans="1:40" ht="15" customHeight="1">
      <c r="D183" s="1"/>
      <c r="E183" s="1"/>
      <c r="F183" s="1"/>
      <c r="G183" s="1"/>
      <c r="H183" s="1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20"/>
      <c r="Z183" s="69"/>
      <c r="AA183" s="73"/>
      <c r="AB183" s="73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0"/>
    </row>
    <row r="184" spans="1:40" ht="15" customHeight="1">
      <c r="D184" s="1"/>
      <c r="E184" s="1"/>
      <c r="F184" s="1"/>
      <c r="G184" s="1"/>
      <c r="H184" s="1"/>
      <c r="I184" s="4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20"/>
      <c r="Z184" s="69"/>
      <c r="AA184" s="73"/>
      <c r="AB184" s="73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0"/>
    </row>
    <row r="185" spans="1:40" ht="15" customHeight="1">
      <c r="D185" s="1"/>
      <c r="E185" s="1"/>
      <c r="F185" s="1"/>
      <c r="G185" s="1"/>
      <c r="H185" s="1"/>
      <c r="I185" s="4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20"/>
      <c r="Z185" s="69"/>
      <c r="AA185" s="73"/>
      <c r="AB185" s="73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0"/>
    </row>
    <row r="186" spans="1:40" ht="15" customHeight="1">
      <c r="D186" s="1"/>
      <c r="E186" s="1"/>
      <c r="F186" s="1"/>
      <c r="G186" s="1"/>
      <c r="H186" s="1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20"/>
      <c r="Z186" s="69"/>
      <c r="AA186" s="73"/>
      <c r="AB186" s="73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0"/>
    </row>
    <row r="187" spans="1:40" ht="15" customHeight="1">
      <c r="D187" s="1"/>
      <c r="E187" s="1"/>
      <c r="F187" s="1"/>
      <c r="G187" s="1"/>
      <c r="H187" s="1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20"/>
      <c r="Z187" s="69"/>
      <c r="AA187" s="73"/>
      <c r="AB187" s="73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0"/>
    </row>
    <row r="188" spans="1:40" ht="15" customHeight="1">
      <c r="D188" s="1"/>
      <c r="E188" s="1"/>
      <c r="F188" s="1"/>
      <c r="G188" s="1"/>
      <c r="H188" s="1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20"/>
      <c r="Z188" s="69"/>
      <c r="AA188" s="73"/>
      <c r="AB188" s="73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0"/>
    </row>
    <row r="189" spans="1:40" ht="15" customHeight="1">
      <c r="D189" s="1"/>
      <c r="E189" s="1"/>
      <c r="F189" s="1"/>
      <c r="G189" s="1"/>
      <c r="H189" s="1"/>
      <c r="I189" s="9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Z189" s="69"/>
      <c r="AA189" s="73"/>
      <c r="AB189" s="73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0"/>
    </row>
    <row r="190" spans="1:40" ht="15" customHeight="1">
      <c r="D190" s="1"/>
      <c r="E190" s="1"/>
      <c r="F190" s="1"/>
      <c r="G190" s="1"/>
      <c r="H190" s="1"/>
      <c r="I190" s="9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Z190" s="69"/>
      <c r="AA190" s="73"/>
      <c r="AB190" s="73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0"/>
    </row>
    <row r="191" spans="1:40">
      <c r="D191" s="7"/>
      <c r="E191" s="7"/>
      <c r="F191" s="7"/>
      <c r="G191" s="7"/>
      <c r="H191" s="7"/>
      <c r="I191" s="9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Z191" s="69"/>
      <c r="AA191" s="73"/>
      <c r="AB191" s="73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0"/>
    </row>
    <row r="192" spans="1:40">
      <c r="I192" s="9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Z192" s="69"/>
      <c r="AA192" s="73"/>
      <c r="AB192" s="73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0"/>
    </row>
    <row r="193" spans="2:40">
      <c r="I193" s="9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Z193" s="69"/>
      <c r="AA193" s="73"/>
      <c r="AB193" s="73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0"/>
    </row>
    <row r="194" spans="2:40">
      <c r="I194" s="9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Z194" s="69"/>
      <c r="AA194" s="73"/>
      <c r="AB194" s="73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0"/>
    </row>
    <row r="195" spans="2:40">
      <c r="I195" s="9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Z195" s="69"/>
      <c r="AA195" s="73"/>
      <c r="AB195" s="73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0"/>
    </row>
    <row r="196" spans="2:40">
      <c r="I196" s="9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Z196" s="69"/>
      <c r="AA196" s="73"/>
      <c r="AB196" s="73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0"/>
    </row>
    <row r="197" spans="2:40">
      <c r="B197" s="30"/>
      <c r="I197" s="9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Z197" s="69"/>
      <c r="AA197" s="73"/>
      <c r="AB197" s="73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0"/>
    </row>
    <row r="198" spans="2:40">
      <c r="B198" s="32"/>
      <c r="I198" s="9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2"/>
      <c r="Z198" s="69"/>
      <c r="AA198" s="73"/>
      <c r="AB198" s="73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0"/>
    </row>
    <row r="199" spans="2:40">
      <c r="I199" s="9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2"/>
      <c r="Z199" s="69"/>
      <c r="AA199" s="73"/>
      <c r="AB199" s="73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0"/>
    </row>
    <row r="200" spans="2:40">
      <c r="I200" s="9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2"/>
      <c r="Z200" s="69"/>
      <c r="AA200" s="73"/>
      <c r="AB200" s="73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0"/>
    </row>
    <row r="201" spans="2:40"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2"/>
      <c r="Z201" s="69"/>
      <c r="AA201" s="73"/>
      <c r="AB201" s="73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0"/>
    </row>
    <row r="202" spans="2:40"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2"/>
      <c r="Z202" s="69"/>
      <c r="AA202" s="73"/>
      <c r="AB202" s="73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0"/>
    </row>
    <row r="203" spans="2:40"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65"/>
      <c r="Z203" s="69"/>
      <c r="AA203" s="73"/>
      <c r="AB203" s="73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0"/>
    </row>
    <row r="204" spans="2:40"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20"/>
      <c r="Z204" s="69"/>
      <c r="AA204" s="73"/>
      <c r="AB204" s="73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0"/>
    </row>
    <row r="205" spans="2:40"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20"/>
      <c r="Z205" s="69"/>
      <c r="AA205" s="73"/>
      <c r="AB205" s="73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0"/>
    </row>
    <row r="206" spans="2:40">
      <c r="Y206" s="20"/>
      <c r="Z206" s="69"/>
      <c r="AA206" s="73"/>
      <c r="AB206" s="73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0"/>
    </row>
    <row r="207" spans="2:40">
      <c r="K207" s="4"/>
      <c r="L207" s="3"/>
      <c r="M207" s="3"/>
      <c r="N207" s="7"/>
      <c r="O207" s="3"/>
      <c r="P207" s="7"/>
      <c r="Q207" s="3"/>
      <c r="V207" s="6"/>
      <c r="Y207" s="20"/>
      <c r="Z207" s="69"/>
      <c r="AA207" s="73"/>
      <c r="AB207" s="73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0"/>
    </row>
    <row r="208" spans="2:40">
      <c r="K208" s="4"/>
      <c r="L208" s="3"/>
      <c r="M208" s="3"/>
      <c r="N208" s="7"/>
      <c r="O208" s="3"/>
      <c r="Y208" s="20"/>
      <c r="Z208" s="69"/>
      <c r="AA208" s="73"/>
      <c r="AB208" s="73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0"/>
    </row>
    <row r="209" spans="11:40">
      <c r="K209" s="4"/>
      <c r="L209" s="3"/>
      <c r="M209" s="3"/>
      <c r="N209" s="7"/>
      <c r="O209" s="3"/>
      <c r="Y209" s="20"/>
      <c r="Z209" s="69"/>
      <c r="AA209" s="73"/>
      <c r="AB209" s="73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0"/>
    </row>
    <row r="210" spans="11:40">
      <c r="K210" s="4"/>
      <c r="L210" s="3"/>
      <c r="M210" s="3"/>
      <c r="N210" s="7"/>
      <c r="O210" s="3"/>
      <c r="Y210" s="20"/>
      <c r="Z210" s="69"/>
      <c r="AA210" s="73"/>
      <c r="AB210" s="73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0"/>
    </row>
    <row r="211" spans="11:40">
      <c r="K211" s="4"/>
      <c r="L211" s="3"/>
      <c r="M211" s="3"/>
      <c r="N211" s="7"/>
      <c r="O211" s="3"/>
      <c r="Y211" s="20"/>
      <c r="Z211" s="69"/>
      <c r="AA211" s="73"/>
      <c r="AB211" s="73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0"/>
    </row>
    <row r="212" spans="11:40">
      <c r="K212" s="4"/>
      <c r="L212" s="3"/>
      <c r="M212" s="3"/>
      <c r="N212" s="7"/>
      <c r="O212" s="3"/>
      <c r="Y212" s="20"/>
      <c r="AN212" s="77"/>
    </row>
    <row r="213" spans="11:40">
      <c r="K213" s="4"/>
      <c r="L213" s="3"/>
      <c r="M213" s="3"/>
      <c r="N213" s="7"/>
      <c r="O213" s="3"/>
      <c r="Y213" s="20"/>
      <c r="AN213" s="77"/>
    </row>
    <row r="214" spans="11:40">
      <c r="K214" s="4"/>
      <c r="L214" s="3"/>
      <c r="M214" s="3"/>
      <c r="N214" s="7"/>
      <c r="O214" s="3"/>
      <c r="Y214" s="20"/>
      <c r="AN214" s="77"/>
    </row>
    <row r="215" spans="11:40">
      <c r="K215" s="4"/>
      <c r="L215" s="3"/>
      <c r="M215" s="3"/>
      <c r="N215" s="7"/>
      <c r="O215" s="3"/>
      <c r="Y215" s="20"/>
      <c r="AN215" s="77"/>
    </row>
    <row r="216" spans="11:40">
      <c r="K216" s="4"/>
      <c r="L216" s="3"/>
      <c r="M216" s="3"/>
      <c r="N216" s="7"/>
      <c r="O216" s="3"/>
      <c r="Y216" s="20"/>
      <c r="AN216" s="77"/>
    </row>
    <row r="217" spans="11:40">
      <c r="K217" s="4"/>
      <c r="L217" s="3"/>
      <c r="M217" s="3"/>
      <c r="N217" s="7"/>
      <c r="O217" s="3"/>
      <c r="Y217" s="20"/>
      <c r="AN217" s="77"/>
    </row>
    <row r="218" spans="11:40">
      <c r="K218" s="4"/>
      <c r="L218" s="3"/>
      <c r="M218" s="3"/>
      <c r="N218" s="7"/>
      <c r="O218" s="3"/>
      <c r="Y218" s="20"/>
      <c r="AN218" s="77"/>
    </row>
    <row r="219" spans="11:40">
      <c r="K219" s="4"/>
      <c r="L219" s="3"/>
      <c r="M219" s="3"/>
      <c r="N219" s="7"/>
      <c r="O219" s="3"/>
      <c r="Y219" s="20"/>
      <c r="AN219" s="77"/>
    </row>
    <row r="220" spans="11:40">
      <c r="K220" s="4"/>
      <c r="L220" s="3"/>
      <c r="M220" s="3"/>
      <c r="N220" s="7"/>
      <c r="O220" s="3"/>
      <c r="Y220" s="20"/>
      <c r="AN220" s="77"/>
    </row>
    <row r="221" spans="11:40">
      <c r="K221" s="4"/>
      <c r="L221" s="3"/>
      <c r="M221" s="3"/>
      <c r="N221" s="7"/>
      <c r="O221" s="3"/>
      <c r="Y221" s="20"/>
      <c r="AN221" s="77"/>
    </row>
    <row r="222" spans="11:40">
      <c r="K222" s="4"/>
      <c r="L222" s="3"/>
      <c r="M222" s="3"/>
      <c r="N222" s="7"/>
      <c r="O222" s="3"/>
      <c r="Y222" s="20"/>
      <c r="AN222" s="77"/>
    </row>
    <row r="223" spans="11:40">
      <c r="K223" s="4"/>
      <c r="L223" s="3"/>
      <c r="M223" s="3"/>
      <c r="N223" s="7"/>
      <c r="O223" s="3"/>
      <c r="Y223" s="20"/>
      <c r="AN223" s="77"/>
    </row>
    <row r="224" spans="11:40">
      <c r="K224" s="4"/>
      <c r="L224" s="3"/>
      <c r="M224" s="3"/>
      <c r="N224" s="7"/>
      <c r="O224" s="3"/>
      <c r="Y224" s="20"/>
      <c r="AN224" s="77"/>
    </row>
    <row r="225" spans="11:40">
      <c r="K225" s="4"/>
      <c r="L225" s="3"/>
      <c r="M225" s="3"/>
      <c r="N225" s="7"/>
      <c r="O225" s="3"/>
      <c r="Y225" s="20"/>
      <c r="AN225" s="77"/>
    </row>
    <row r="226" spans="11:40">
      <c r="K226" s="4"/>
      <c r="L226" s="3"/>
      <c r="M226" s="3"/>
      <c r="N226" s="7"/>
      <c r="O226" s="3"/>
      <c r="Y226" s="20"/>
      <c r="AN226" s="77"/>
    </row>
    <row r="227" spans="11:40">
      <c r="K227" s="4"/>
      <c r="L227" s="3"/>
      <c r="M227" s="3"/>
      <c r="N227" s="7"/>
      <c r="O227" s="3"/>
      <c r="Y227" s="20"/>
      <c r="AN227" s="77"/>
    </row>
    <row r="228" spans="11:40">
      <c r="K228" s="4"/>
      <c r="L228" s="3"/>
      <c r="M228" s="3"/>
      <c r="N228" s="7"/>
      <c r="O228" s="3"/>
      <c r="Y228" s="20"/>
      <c r="AN228" s="77"/>
    </row>
    <row r="229" spans="11:40">
      <c r="K229" s="4"/>
      <c r="L229" s="3"/>
      <c r="M229" s="3"/>
      <c r="N229" s="7"/>
      <c r="O229" s="3"/>
      <c r="Y229" s="20"/>
      <c r="AN229" s="77"/>
    </row>
    <row r="230" spans="11:40">
      <c r="K230" s="4"/>
      <c r="L230" s="3"/>
      <c r="M230" s="3"/>
      <c r="N230" s="7"/>
      <c r="O230" s="3"/>
      <c r="Y230" s="20"/>
      <c r="AN230" s="77"/>
    </row>
    <row r="231" spans="11:40">
      <c r="K231" s="4"/>
      <c r="L231" s="3"/>
      <c r="M231" s="3"/>
      <c r="N231" s="7"/>
      <c r="O231" s="3"/>
      <c r="Y231" s="20"/>
      <c r="AN231" s="77"/>
    </row>
    <row r="232" spans="11:40">
      <c r="K232" s="4"/>
      <c r="L232" s="3"/>
      <c r="M232" s="3"/>
      <c r="N232" s="7"/>
      <c r="O232" s="3"/>
      <c r="Y232" s="20"/>
      <c r="AN232" s="77"/>
    </row>
    <row r="233" spans="11:40">
      <c r="K233" s="4"/>
      <c r="L233" s="3"/>
      <c r="M233" s="3"/>
      <c r="N233" s="7"/>
      <c r="O233" s="3"/>
      <c r="Y233" s="20"/>
      <c r="AN233" s="77"/>
    </row>
    <row r="234" spans="11:40">
      <c r="K234" s="4"/>
      <c r="L234" s="3"/>
      <c r="M234" s="3"/>
      <c r="N234" s="7"/>
      <c r="O234" s="3"/>
      <c r="Y234" s="20"/>
      <c r="AN234" s="77"/>
    </row>
    <row r="235" spans="11:40">
      <c r="K235" s="4"/>
      <c r="L235" s="3"/>
      <c r="M235" s="3"/>
      <c r="N235" s="7"/>
      <c r="O235" s="3"/>
      <c r="Y235" s="20"/>
      <c r="AN235" s="77"/>
    </row>
    <row r="236" spans="11:40">
      <c r="K236" s="4"/>
      <c r="L236" s="3"/>
      <c r="M236" s="3"/>
      <c r="N236" s="7"/>
      <c r="O236" s="3"/>
      <c r="Y236" s="20"/>
      <c r="AN236" s="77"/>
    </row>
    <row r="237" spans="11:40">
      <c r="K237" s="4"/>
      <c r="L237" s="3"/>
      <c r="M237" s="3"/>
      <c r="N237" s="7"/>
      <c r="O237" s="3"/>
      <c r="Y237" s="20"/>
      <c r="AN237" s="77"/>
    </row>
    <row r="238" spans="11:40">
      <c r="K238" s="4"/>
      <c r="L238" s="3"/>
      <c r="M238" s="3"/>
      <c r="N238" s="7"/>
      <c r="O238" s="3"/>
      <c r="Y238" s="20"/>
    </row>
    <row r="239" spans="11:40">
      <c r="K239" s="4"/>
      <c r="L239" s="3"/>
      <c r="M239" s="3"/>
      <c r="N239" s="7"/>
      <c r="O239" s="3"/>
      <c r="Y239" s="20"/>
    </row>
    <row r="240" spans="11:40">
      <c r="K240" s="4"/>
      <c r="L240" s="3"/>
      <c r="M240" s="3"/>
      <c r="N240" s="7"/>
      <c r="O240" s="3"/>
      <c r="Y240" s="20"/>
    </row>
    <row r="241" spans="9:40">
      <c r="K241" s="4"/>
      <c r="L241" s="3"/>
      <c r="M241" s="3"/>
      <c r="N241" s="7"/>
      <c r="O241" s="3"/>
      <c r="Y241" s="20"/>
    </row>
    <row r="242" spans="9:40">
      <c r="K242" s="4"/>
      <c r="L242" s="3"/>
      <c r="M242" s="3"/>
      <c r="N242" s="7"/>
      <c r="O242" s="3"/>
      <c r="Y242" s="20"/>
    </row>
    <row r="243" spans="9:40">
      <c r="I243" s="7"/>
      <c r="K243" s="4"/>
      <c r="L243" s="3"/>
      <c r="M243" s="3"/>
      <c r="N243" s="7"/>
      <c r="O243" s="3"/>
      <c r="Y243" s="20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</row>
    <row r="244" spans="9:40">
      <c r="I244" s="41"/>
      <c r="K244" s="4"/>
      <c r="L244" s="3"/>
      <c r="M244" s="3"/>
      <c r="N244" s="7"/>
      <c r="O244" s="3"/>
      <c r="Y244" s="20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</row>
    <row r="245" spans="9:40">
      <c r="I245" s="41"/>
      <c r="K245" s="4"/>
      <c r="L245" s="3"/>
      <c r="M245" s="3"/>
      <c r="N245" s="7"/>
      <c r="O245" s="3"/>
      <c r="Y245" s="20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</row>
    <row r="246" spans="9:40">
      <c r="K246" s="4"/>
      <c r="L246" s="3"/>
      <c r="M246" s="3"/>
      <c r="N246" s="7"/>
      <c r="O246" s="3"/>
      <c r="Y246" s="20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</row>
    <row r="247" spans="9:40">
      <c r="K247" s="4"/>
      <c r="L247" s="3"/>
      <c r="M247" s="3"/>
      <c r="N247" s="7"/>
      <c r="O247" s="3"/>
      <c r="Y247" s="20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</row>
    <row r="248" spans="9:40">
      <c r="K248" s="4"/>
      <c r="L248" s="3"/>
      <c r="M248" s="3"/>
      <c r="N248" s="7"/>
      <c r="O248" s="3"/>
      <c r="Y248" s="20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</row>
    <row r="249" spans="9:40">
      <c r="K249" s="4"/>
      <c r="L249" s="3"/>
      <c r="M249" s="3"/>
      <c r="N249" s="7"/>
      <c r="O249" s="3"/>
      <c r="Y249" s="20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78"/>
    </row>
    <row r="250" spans="9:40">
      <c r="K250" s="4"/>
      <c r="L250" s="3"/>
      <c r="M250" s="3"/>
      <c r="N250" s="7"/>
      <c r="O250" s="3"/>
      <c r="Y250" s="20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78"/>
    </row>
    <row r="251" spans="9:40">
      <c r="K251" s="4"/>
      <c r="L251" s="3"/>
      <c r="M251" s="3"/>
      <c r="N251" s="7"/>
      <c r="O251" s="3"/>
      <c r="Y251" s="20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78"/>
    </row>
    <row r="252" spans="9:40">
      <c r="K252" s="4"/>
      <c r="L252" s="3"/>
      <c r="M252" s="3"/>
      <c r="N252" s="7"/>
      <c r="O252" s="3"/>
      <c r="Y252" s="20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78"/>
    </row>
    <row r="253" spans="9:40">
      <c r="K253" s="4"/>
      <c r="L253" s="3"/>
      <c r="M253" s="3"/>
      <c r="N253" s="7"/>
      <c r="O253" s="3"/>
      <c r="Y253" s="20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78"/>
    </row>
    <row r="254" spans="9:40">
      <c r="K254" s="4"/>
      <c r="L254" s="3"/>
      <c r="M254" s="3"/>
      <c r="N254" s="7"/>
      <c r="O254" s="3"/>
      <c r="Y254" s="20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78"/>
    </row>
    <row r="255" spans="9:40">
      <c r="K255" s="4"/>
      <c r="L255" s="3"/>
      <c r="M255" s="3"/>
      <c r="N255" s="7"/>
      <c r="O255" s="3"/>
      <c r="Y255" s="20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78"/>
    </row>
    <row r="256" spans="9:40">
      <c r="K256" s="4"/>
      <c r="L256" s="3"/>
      <c r="M256" s="3"/>
      <c r="N256" s="7"/>
      <c r="O256" s="3"/>
      <c r="Y256" s="20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78"/>
    </row>
    <row r="257" spans="11:40">
      <c r="K257" s="4"/>
      <c r="L257" s="3"/>
      <c r="M257" s="3"/>
      <c r="N257" s="7"/>
      <c r="O257" s="3"/>
      <c r="Y257" s="20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78"/>
    </row>
    <row r="258" spans="11:40">
      <c r="K258" s="4"/>
      <c r="L258" s="3"/>
      <c r="M258" s="3"/>
      <c r="N258" s="7"/>
      <c r="O258" s="3"/>
      <c r="Y258" s="20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78"/>
    </row>
    <row r="259" spans="11:40">
      <c r="K259" s="4"/>
      <c r="L259" s="3"/>
      <c r="M259" s="3"/>
      <c r="N259" s="7"/>
      <c r="O259" s="3"/>
      <c r="Y259" s="20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78"/>
    </row>
    <row r="260" spans="11:40">
      <c r="K260" s="4"/>
      <c r="L260" s="3"/>
      <c r="M260" s="3"/>
      <c r="N260" s="7"/>
      <c r="O260" s="3"/>
      <c r="Y260" s="20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78"/>
    </row>
    <row r="261" spans="11:40">
      <c r="K261" s="4"/>
      <c r="L261" s="3"/>
      <c r="M261" s="3"/>
      <c r="N261" s="7"/>
      <c r="O261" s="3"/>
      <c r="Y261" s="20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78"/>
    </row>
    <row r="262" spans="11:40">
      <c r="K262" s="4"/>
      <c r="L262" s="3"/>
      <c r="M262" s="3"/>
      <c r="N262" s="7"/>
      <c r="O262" s="3"/>
      <c r="Y262" s="20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78"/>
    </row>
    <row r="263" spans="11:40">
      <c r="K263" s="4"/>
      <c r="L263" s="3"/>
      <c r="M263" s="3"/>
      <c r="N263" s="7"/>
      <c r="O263" s="3"/>
      <c r="Y263" s="20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78"/>
    </row>
    <row r="264" spans="11:40">
      <c r="O264" s="3"/>
      <c r="Y264" s="20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78"/>
    </row>
    <row r="265" spans="11:40">
      <c r="O265" s="3"/>
      <c r="Y265" s="20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78"/>
    </row>
    <row r="266" spans="11:40">
      <c r="O266" s="3"/>
      <c r="Y266" s="20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78"/>
    </row>
    <row r="267" spans="11:40">
      <c r="O267" s="3"/>
      <c r="Y267" s="20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78"/>
    </row>
    <row r="268" spans="11:40">
      <c r="O268" s="3"/>
      <c r="Y268" s="20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78"/>
    </row>
    <row r="269" spans="11:40">
      <c r="Y269" s="20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78"/>
    </row>
    <row r="270" spans="11:40">
      <c r="Y270" s="20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78"/>
    </row>
    <row r="271" spans="11:40">
      <c r="Y271" s="20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78"/>
    </row>
    <row r="272" spans="11:40">
      <c r="Y272" s="20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78"/>
    </row>
    <row r="273" spans="25:40">
      <c r="Y273" s="20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78"/>
    </row>
    <row r="274" spans="25:40">
      <c r="Y274" s="20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78"/>
    </row>
    <row r="275" spans="25:40">
      <c r="Y275" s="20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78"/>
    </row>
    <row r="276" spans="25:40">
      <c r="Y276" s="20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78"/>
    </row>
    <row r="277" spans="25:40">
      <c r="Y277" s="20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78"/>
    </row>
    <row r="278" spans="25:40"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</row>
    <row r="279" spans="25:40"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</row>
    <row r="280" spans="25:40"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</row>
    <row r="281" spans="25:40"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</row>
    <row r="282" spans="25:40"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</row>
    <row r="283" spans="25:40"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</row>
    <row r="284" spans="25:40"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</row>
    <row r="285" spans="25:40"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</row>
    <row r="286" spans="25:40"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</row>
    <row r="287" spans="25:40"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</row>
    <row r="288" spans="25:40"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</row>
    <row r="289" spans="29:40"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</row>
    <row r="290" spans="29:40"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</row>
    <row r="291" spans="29:40"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</row>
    <row r="292" spans="29:40"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</row>
    <row r="293" spans="29:40"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</row>
    <row r="294" spans="29:40"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</row>
    <row r="295" spans="29:40"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</row>
    <row r="296" spans="29:40"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</row>
    <row r="297" spans="29:40"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</row>
    <row r="298" spans="29:40"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</row>
    <row r="299" spans="29:40"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</row>
    <row r="300" spans="29:40"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</row>
    <row r="301" spans="29:40"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</row>
    <row r="302" spans="29:40"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</row>
    <row r="303" spans="29:40"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</row>
    <row r="304" spans="29:40"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</row>
    <row r="305" spans="29:40"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</row>
    <row r="306" spans="29:40"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</row>
    <row r="307" spans="29:40"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</row>
    <row r="308" spans="29:40"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</row>
    <row r="309" spans="29:40"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</row>
    <row r="310" spans="29:40"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</row>
    <row r="311" spans="29:40"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</row>
    <row r="312" spans="29:40"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</row>
    <row r="313" spans="29:40"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</row>
    <row r="314" spans="29:40"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</row>
    <row r="315" spans="29:40"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</row>
    <row r="316" spans="29:40"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</row>
    <row r="317" spans="29:40"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</row>
    <row r="318" spans="29:40"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</row>
    <row r="319" spans="29:40"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</row>
    <row r="320" spans="29:40"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</row>
    <row r="321" spans="29:40"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</row>
    <row r="322" spans="29:40"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</row>
    <row r="323" spans="29:40"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</row>
    <row r="324" spans="29:40"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</row>
    <row r="325" spans="29:40"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</row>
    <row r="326" spans="29:40"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</row>
    <row r="327" spans="29:40"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</row>
    <row r="328" spans="29:40"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</row>
    <row r="329" spans="29:40"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</row>
    <row r="330" spans="29:40"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</row>
    <row r="331" spans="29:40"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</row>
    <row r="332" spans="29:40"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</row>
    <row r="333" spans="29:40"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</row>
    <row r="334" spans="29:40"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</row>
    <row r="335" spans="29:40"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</row>
    <row r="336" spans="29:40"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</row>
    <row r="337" spans="29:40"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</row>
    <row r="338" spans="29:40"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</row>
    <row r="339" spans="29:40"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</row>
    <row r="340" spans="29:40"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</row>
    <row r="341" spans="29:40"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</row>
    <row r="342" spans="29:40"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</row>
    <row r="343" spans="29:40"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</row>
    <row r="344" spans="29:40"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</row>
    <row r="345" spans="29:40"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</row>
    <row r="346" spans="29:40"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</row>
    <row r="347" spans="29:40"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</row>
    <row r="348" spans="29:40"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</row>
    <row r="349" spans="29:40"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</row>
    <row r="350" spans="29:40"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</row>
    <row r="351" spans="29:40"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</row>
    <row r="352" spans="29:40"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</row>
    <row r="353" spans="29:40"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</row>
    <row r="354" spans="29:40"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</row>
    <row r="355" spans="29:40"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</row>
    <row r="356" spans="29:40"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</row>
    <row r="357" spans="29:40"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</row>
    <row r="358" spans="29:40"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</row>
    <row r="359" spans="29:40"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</row>
    <row r="360" spans="29:40"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</row>
    <row r="361" spans="29:40"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</row>
    <row r="362" spans="29:40"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</row>
    <row r="363" spans="29:40"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</row>
    <row r="364" spans="29:40"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</row>
    <row r="365" spans="29:40"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</row>
    <row r="366" spans="29:40"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</row>
    <row r="367" spans="29:40"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</row>
    <row r="368" spans="29:40"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</row>
    <row r="369" spans="29:40"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</row>
    <row r="370" spans="29:40"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</row>
    <row r="371" spans="29:40"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</row>
    <row r="372" spans="29:40"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</row>
    <row r="373" spans="29:40"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</row>
    <row r="374" spans="29:40"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</row>
    <row r="375" spans="29:40"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</row>
    <row r="376" spans="29:40"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</row>
    <row r="377" spans="29:40"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</row>
    <row r="378" spans="29:40"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</row>
    <row r="379" spans="29:40"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</row>
    <row r="380" spans="29:40"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</row>
    <row r="381" spans="29:40"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</row>
    <row r="382" spans="29:40"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</row>
    <row r="383" spans="29:40"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</row>
    <row r="384" spans="29:40"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</row>
    <row r="385" spans="29:40"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</row>
    <row r="386" spans="29:40"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</row>
    <row r="387" spans="29:40"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</row>
    <row r="388" spans="29:40"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</row>
    <row r="389" spans="29:40"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</row>
    <row r="390" spans="29:40"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</row>
    <row r="391" spans="29:40"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</row>
    <row r="392" spans="29:40"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</row>
    <row r="393" spans="29:40"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</row>
    <row r="394" spans="29:40"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</row>
    <row r="395" spans="29:40"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</row>
    <row r="396" spans="29:40"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</row>
    <row r="397" spans="29:40"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</row>
    <row r="398" spans="29:40"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</row>
    <row r="399" spans="29:40"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</row>
    <row r="400" spans="29:40"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</row>
    <row r="401" spans="29:40"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</row>
    <row r="402" spans="29:40"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</row>
    <row r="403" spans="29:40"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</row>
    <row r="404" spans="29:40"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</row>
    <row r="405" spans="29:40"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</row>
    <row r="406" spans="29:40"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</row>
    <row r="407" spans="29:40"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</row>
    <row r="408" spans="29:40"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</row>
    <row r="409" spans="29:40"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</row>
    <row r="410" spans="29:40"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</row>
    <row r="411" spans="29:40"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</row>
    <row r="412" spans="29:40"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</row>
    <row r="413" spans="29:40"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</row>
    <row r="414" spans="29:40"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</row>
    <row r="415" spans="29:40"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</row>
    <row r="416" spans="29:40"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</row>
    <row r="417" spans="29:40"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</row>
    <row r="418" spans="29:40"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</row>
    <row r="419" spans="29:40"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</row>
    <row r="420" spans="29:40"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</row>
    <row r="421" spans="29:40"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</row>
    <row r="422" spans="29:40"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</row>
    <row r="423" spans="29:40"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</row>
    <row r="424" spans="29:40"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</row>
    <row r="425" spans="29:40"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</row>
    <row r="426" spans="29:40"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</row>
    <row r="427" spans="29:40"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</row>
    <row r="428" spans="29:40"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</row>
    <row r="429" spans="29:40"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</row>
    <row r="430" spans="29:40"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</row>
    <row r="431" spans="29:40"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</row>
    <row r="432" spans="29:40"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</row>
    <row r="433" spans="29:40"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</row>
    <row r="434" spans="29:40"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</row>
    <row r="435" spans="29:40"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</row>
    <row r="436" spans="29:40"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</row>
    <row r="437" spans="29:40"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</row>
    <row r="438" spans="29:40"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</row>
    <row r="439" spans="29:40"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</row>
    <row r="440" spans="29:40"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</row>
    <row r="441" spans="29:40"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</row>
    <row r="442" spans="29:40"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</row>
    <row r="443" spans="29:40"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</row>
    <row r="444" spans="29:40"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</row>
  </sheetData>
  <sheetProtection algorithmName="SHA-512" hashValue="B/aXHGZw6G0RngwEy8wnuFVpx2Ihoe3asSkyA0C6y8nsIvEPqrLr0SAoRnF9vvMjbZl+T7U/GgzGAtrA057jiw==" saltValue="QVnLHebxWEsw9xWL+wZI9w==" spinCount="100000" sheet="1" objects="1" scenarios="1" selectLockedCells="1"/>
  <customSheetViews>
    <customSheetView guid="{C5C8DA39-C784-9F41-A13A-E8B47EB72839}" scale="125">
      <selection activeCell="BW2" sqref="BW2"/>
      <pageMargins left="0.7" right="0.7" top="0.75" bottom="0.75" header="0.3" footer="0.3"/>
      <pageSetup paperSize="9" orientation="portrait" horizontalDpi="0" verticalDpi="0"/>
    </customSheetView>
  </customSheetViews>
  <mergeCells count="18">
    <mergeCell ref="M6:N6"/>
    <mergeCell ref="O6:P6"/>
    <mergeCell ref="C14:F14"/>
    <mergeCell ref="C22:F22"/>
    <mergeCell ref="AP7:AR7"/>
    <mergeCell ref="AP8:AR8"/>
    <mergeCell ref="AP9:AR9"/>
    <mergeCell ref="AP10:AR10"/>
    <mergeCell ref="C58:D58"/>
    <mergeCell ref="C26:D26"/>
    <mergeCell ref="D6:G6"/>
    <mergeCell ref="E58:G58"/>
    <mergeCell ref="G21:H21"/>
    <mergeCell ref="G20:H20"/>
    <mergeCell ref="G12:H12"/>
    <mergeCell ref="G13:H13"/>
    <mergeCell ref="A56:L56"/>
    <mergeCell ref="D7:G7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28</vt:i4>
      </vt:variant>
    </vt:vector>
  </HeadingPairs>
  <TitlesOfParts>
    <vt:vector size="29" baseType="lpstr">
      <vt:lpstr>Navigation</vt:lpstr>
      <vt:lpstr>_c</vt:lpstr>
      <vt:lpstr>_d</vt:lpstr>
      <vt:lpstr>_oz1</vt:lpstr>
      <vt:lpstr>_oz2</vt:lpstr>
      <vt:lpstr>aza</vt:lpstr>
      <vt:lpstr>Breite</vt:lpstr>
      <vt:lpstr>Breite°</vt:lpstr>
      <vt:lpstr>deka</vt:lpstr>
      <vt:lpstr>dekb</vt:lpstr>
      <vt:lpstr>dira</vt:lpstr>
      <vt:lpstr>dirb</vt:lpstr>
      <vt:lpstr>dt</vt:lpstr>
      <vt:lpstr>EW</vt:lpstr>
      <vt:lpstr>grta</vt:lpstr>
      <vt:lpstr>GRTA°</vt:lpstr>
      <vt:lpstr>grtb</vt:lpstr>
      <vt:lpstr>hma</vt:lpstr>
      <vt:lpstr>hma°</vt:lpstr>
      <vt:lpstr>hmav</vt:lpstr>
      <vt:lpstr>hmb</vt:lpstr>
      <vt:lpstr>hmb°</vt:lpstr>
      <vt:lpstr>Länge</vt:lpstr>
      <vt:lpstr>Länge°</vt:lpstr>
      <vt:lpstr>LHA</vt:lpstr>
      <vt:lpstr>TG</vt:lpstr>
      <vt:lpstr>U</vt:lpstr>
      <vt:lpstr>vb</vt:lpstr>
      <vt:lpstr>vl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Helmut Hoffrichter</cp:lastModifiedBy>
  <dcterms:created xsi:type="dcterms:W3CDTF">2018-01-04T14:37:05Z</dcterms:created>
  <dcterms:modified xsi:type="dcterms:W3CDTF">2021-07-02T11:16:10Z</dcterms:modified>
</cp:coreProperties>
</file>