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/Users/helmuthoffrichter/Desktop/"/>
    </mc:Choice>
  </mc:AlternateContent>
  <xr:revisionPtr revIDLastSave="0" documentId="8_{FF3A20B0-CC8D-AF44-937A-C137F7FD349C}" xr6:coauthVersionLast="36" xr6:coauthVersionMax="36" xr10:uidLastSave="{00000000-0000-0000-0000-000000000000}"/>
  <bookViews>
    <workbookView xWindow="40980" yWindow="900" windowWidth="10000" windowHeight="19180" xr2:uid="{A9F4FF03-FE4A-7140-BA09-BAB2D53DDDE5}"/>
  </bookViews>
  <sheets>
    <sheet name="Sun Almanac" sheetId="2" r:id="rId1"/>
    <sheet name="Druckseite" sheetId="5" r:id="rId2"/>
  </sheets>
  <definedNames>
    <definedName name="_xlnm.Print_Area" localSheetId="1">Druckseite!$B$3:$H$35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5" l="1"/>
  <c r="E5" i="5"/>
  <c r="F5" i="5"/>
  <c r="G5" i="5"/>
  <c r="C6" i="5"/>
  <c r="L22" i="2"/>
  <c r="K22" i="2"/>
  <c r="E12" i="2"/>
  <c r="C51" i="2" s="1"/>
  <c r="E3" i="5" l="1"/>
  <c r="C12" i="2"/>
  <c r="C3" i="5" s="1"/>
  <c r="E51" i="2" l="1"/>
  <c r="D51" i="2"/>
  <c r="F51" i="2"/>
  <c r="G51" i="2"/>
  <c r="B52" i="2"/>
  <c r="C17" i="2"/>
  <c r="C18" i="2" l="1"/>
  <c r="C7" i="5"/>
  <c r="B53" i="2"/>
  <c r="C52" i="2"/>
  <c r="F52" i="2" s="1"/>
  <c r="L51" i="2"/>
  <c r="J51" i="2"/>
  <c r="K51" i="2"/>
  <c r="C19" i="2" l="1"/>
  <c r="C8" i="5"/>
  <c r="B54" i="2"/>
  <c r="C53" i="2"/>
  <c r="F53" i="2" s="1"/>
  <c r="E52" i="2"/>
  <c r="D52" i="2"/>
  <c r="G52" i="2"/>
  <c r="N51" i="2"/>
  <c r="C20" i="2" l="1"/>
  <c r="C9" i="5"/>
  <c r="G53" i="2"/>
  <c r="L53" i="2" s="1"/>
  <c r="D53" i="2"/>
  <c r="E53" i="2"/>
  <c r="B55" i="2"/>
  <c r="C54" i="2"/>
  <c r="K52" i="2"/>
  <c r="K53" i="2"/>
  <c r="M51" i="2"/>
  <c r="J53" i="2"/>
  <c r="L52" i="2"/>
  <c r="J52" i="2"/>
  <c r="C22" i="2" l="1"/>
  <c r="C10" i="5"/>
  <c r="F54" i="2"/>
  <c r="E54" i="2"/>
  <c r="K54" i="2" s="1"/>
  <c r="D54" i="2"/>
  <c r="G54" i="2"/>
  <c r="B56" i="2"/>
  <c r="C55" i="2"/>
  <c r="O51" i="2"/>
  <c r="P51" i="2" s="1"/>
  <c r="D16" i="2" s="1"/>
  <c r="D6" i="5" s="1"/>
  <c r="R51" i="2"/>
  <c r="S51" i="2"/>
  <c r="N53" i="2"/>
  <c r="N52" i="2"/>
  <c r="C23" i="2" l="1"/>
  <c r="C12" i="5"/>
  <c r="J54" i="2"/>
  <c r="N54" i="2" s="1"/>
  <c r="M54" i="2" s="1"/>
  <c r="L54" i="2"/>
  <c r="F55" i="2"/>
  <c r="E55" i="2"/>
  <c r="K55" i="2" s="1"/>
  <c r="G55" i="2"/>
  <c r="D55" i="2"/>
  <c r="B57" i="2"/>
  <c r="C56" i="2"/>
  <c r="M52" i="2"/>
  <c r="M53" i="2"/>
  <c r="F16" i="2"/>
  <c r="H16" i="2"/>
  <c r="H6" i="5" s="1"/>
  <c r="E16" i="2"/>
  <c r="E6" i="5" s="1"/>
  <c r="C24" i="2" l="1"/>
  <c r="C13" i="5"/>
  <c r="G16" i="2"/>
  <c r="G6" i="5" s="1"/>
  <c r="F6" i="5"/>
  <c r="F56" i="2"/>
  <c r="E56" i="2"/>
  <c r="K56" i="2" s="1"/>
  <c r="G56" i="2"/>
  <c r="D56" i="2"/>
  <c r="B58" i="2"/>
  <c r="C57" i="2"/>
  <c r="L55" i="2"/>
  <c r="J55" i="2"/>
  <c r="N55" i="2" s="1"/>
  <c r="M55" i="2" s="1"/>
  <c r="O54" i="2"/>
  <c r="P54" i="2" s="1"/>
  <c r="D19" i="2" s="1"/>
  <c r="R54" i="2"/>
  <c r="S54" i="2"/>
  <c r="O53" i="2"/>
  <c r="P53" i="2" s="1"/>
  <c r="D18" i="2" s="1"/>
  <c r="R53" i="2"/>
  <c r="S53" i="2"/>
  <c r="O52" i="2"/>
  <c r="P52" i="2" s="1"/>
  <c r="D17" i="2" s="1"/>
  <c r="R52" i="2"/>
  <c r="S52" i="2"/>
  <c r="C25" i="2" l="1"/>
  <c r="C14" i="5"/>
  <c r="E19" i="2"/>
  <c r="E9" i="5" s="1"/>
  <c r="D9" i="5"/>
  <c r="E17" i="2"/>
  <c r="E7" i="5" s="1"/>
  <c r="D7" i="5"/>
  <c r="E18" i="2"/>
  <c r="E8" i="5" s="1"/>
  <c r="D8" i="5"/>
  <c r="R55" i="2"/>
  <c r="S55" i="2"/>
  <c r="H20" i="2" s="1"/>
  <c r="H10" i="5" s="1"/>
  <c r="O55" i="2"/>
  <c r="P55" i="2" s="1"/>
  <c r="D20" i="2" s="1"/>
  <c r="D10" i="5" s="1"/>
  <c r="B59" i="2"/>
  <c r="C58" i="2"/>
  <c r="L56" i="2"/>
  <c r="J56" i="2"/>
  <c r="N56" i="2" s="1"/>
  <c r="M56" i="2" s="1"/>
  <c r="S56" i="2" s="1"/>
  <c r="F57" i="2"/>
  <c r="E57" i="2"/>
  <c r="K57" i="2" s="1"/>
  <c r="D57" i="2"/>
  <c r="G57" i="2"/>
  <c r="H18" i="2"/>
  <c r="H8" i="5" s="1"/>
  <c r="F18" i="2"/>
  <c r="T53" i="2"/>
  <c r="H17" i="2"/>
  <c r="H7" i="5" s="1"/>
  <c r="F17" i="2"/>
  <c r="T52" i="2"/>
  <c r="F19" i="2"/>
  <c r="H19" i="2"/>
  <c r="H9" i="5" s="1"/>
  <c r="T54" i="2"/>
  <c r="C26" i="2" l="1"/>
  <c r="C15" i="5"/>
  <c r="F22" i="2"/>
  <c r="G22" i="2" s="1"/>
  <c r="G18" i="2"/>
  <c r="G8" i="5" s="1"/>
  <c r="F8" i="5"/>
  <c r="T55" i="2"/>
  <c r="G17" i="2"/>
  <c r="G7" i="5" s="1"/>
  <c r="F7" i="5"/>
  <c r="F20" i="2"/>
  <c r="F10" i="5" s="1"/>
  <c r="G19" i="2"/>
  <c r="G9" i="5" s="1"/>
  <c r="F9" i="5"/>
  <c r="E20" i="2"/>
  <c r="E10" i="5" s="1"/>
  <c r="O56" i="2"/>
  <c r="P56" i="2" s="1"/>
  <c r="D22" i="2" s="1"/>
  <c r="B60" i="2"/>
  <c r="C59" i="2"/>
  <c r="F58" i="2"/>
  <c r="E58" i="2"/>
  <c r="K58" i="2" s="1"/>
  <c r="D58" i="2"/>
  <c r="G58" i="2"/>
  <c r="R56" i="2"/>
  <c r="L57" i="2"/>
  <c r="J57" i="2"/>
  <c r="N57" i="2" s="1"/>
  <c r="M57" i="2" s="1"/>
  <c r="H22" i="2"/>
  <c r="H12" i="5" s="1"/>
  <c r="T56" i="2"/>
  <c r="C28" i="2" l="1"/>
  <c r="C16" i="5"/>
  <c r="G20" i="2"/>
  <c r="G10" i="5" s="1"/>
  <c r="G12" i="5"/>
  <c r="F12" i="5"/>
  <c r="E22" i="2"/>
  <c r="E12" i="5" s="1"/>
  <c r="D12" i="5"/>
  <c r="R57" i="2"/>
  <c r="S57" i="2"/>
  <c r="O57" i="2"/>
  <c r="P57" i="2" s="1"/>
  <c r="D23" i="2" s="1"/>
  <c r="D13" i="5" s="1"/>
  <c r="F59" i="2"/>
  <c r="D59" i="2"/>
  <c r="E59" i="2"/>
  <c r="K59" i="2" s="1"/>
  <c r="G59" i="2"/>
  <c r="L58" i="2"/>
  <c r="J58" i="2"/>
  <c r="N58" i="2" s="1"/>
  <c r="M58" i="2" s="1"/>
  <c r="B61" i="2"/>
  <c r="C60" i="2"/>
  <c r="C29" i="2" l="1"/>
  <c r="C18" i="5"/>
  <c r="T57" i="2"/>
  <c r="F23" i="2"/>
  <c r="G23" i="2" s="1"/>
  <c r="H23" i="2"/>
  <c r="H13" i="5" s="1"/>
  <c r="E23" i="2"/>
  <c r="E13" i="5" s="1"/>
  <c r="S58" i="2"/>
  <c r="O58" i="2"/>
  <c r="P58" i="2" s="1"/>
  <c r="D24" i="2" s="1"/>
  <c r="R58" i="2"/>
  <c r="F60" i="2"/>
  <c r="E60" i="2"/>
  <c r="K60" i="2" s="1"/>
  <c r="G60" i="2"/>
  <c r="D60" i="2"/>
  <c r="B62" i="2"/>
  <c r="C61" i="2"/>
  <c r="L59" i="2"/>
  <c r="J59" i="2"/>
  <c r="N59" i="2" s="1"/>
  <c r="M59" i="2" s="1"/>
  <c r="C30" i="2" l="1"/>
  <c r="C19" i="5"/>
  <c r="T58" i="2"/>
  <c r="G13" i="5"/>
  <c r="F13" i="5"/>
  <c r="E24" i="2"/>
  <c r="E14" i="5" s="1"/>
  <c r="D14" i="5"/>
  <c r="H24" i="2"/>
  <c r="H14" i="5" s="1"/>
  <c r="F24" i="2"/>
  <c r="G24" i="2" s="1"/>
  <c r="O59" i="2"/>
  <c r="P59" i="2" s="1"/>
  <c r="D25" i="2" s="1"/>
  <c r="D15" i="5" s="1"/>
  <c r="R59" i="2"/>
  <c r="S59" i="2"/>
  <c r="L60" i="2"/>
  <c r="J60" i="2"/>
  <c r="N60" i="2" s="1"/>
  <c r="M60" i="2" s="1"/>
  <c r="B63" i="2"/>
  <c r="C62" i="2"/>
  <c r="F61" i="2"/>
  <c r="G61" i="2"/>
  <c r="E61" i="2"/>
  <c r="K61" i="2" s="1"/>
  <c r="D61" i="2"/>
  <c r="C31" i="2" l="1"/>
  <c r="C20" i="5"/>
  <c r="H25" i="2"/>
  <c r="H15" i="5" s="1"/>
  <c r="G14" i="5"/>
  <c r="F14" i="5"/>
  <c r="E25" i="2"/>
  <c r="E15" i="5" s="1"/>
  <c r="F25" i="2"/>
  <c r="G25" i="2" s="1"/>
  <c r="T59" i="2"/>
  <c r="R60" i="2"/>
  <c r="S60" i="2"/>
  <c r="H26" i="2" s="1"/>
  <c r="H16" i="5" s="1"/>
  <c r="O60" i="2"/>
  <c r="P60" i="2" s="1"/>
  <c r="D26" i="2" s="1"/>
  <c r="C63" i="2"/>
  <c r="B64" i="2"/>
  <c r="F62" i="2"/>
  <c r="D62" i="2"/>
  <c r="E62" i="2"/>
  <c r="K62" i="2" s="1"/>
  <c r="G62" i="2"/>
  <c r="L61" i="2"/>
  <c r="J61" i="2"/>
  <c r="N61" i="2" s="1"/>
  <c r="M61" i="2" s="1"/>
  <c r="C32" i="2" l="1"/>
  <c r="C21" i="5"/>
  <c r="E26" i="2"/>
  <c r="E16" i="5" s="1"/>
  <c r="D16" i="5"/>
  <c r="G15" i="5"/>
  <c r="F15" i="5"/>
  <c r="T60" i="2"/>
  <c r="F26" i="2"/>
  <c r="S61" i="2"/>
  <c r="T61" i="2" s="1"/>
  <c r="R61" i="2"/>
  <c r="O61" i="2"/>
  <c r="P61" i="2" s="1"/>
  <c r="D28" i="2" s="1"/>
  <c r="B65" i="2"/>
  <c r="C64" i="2"/>
  <c r="F63" i="2"/>
  <c r="D63" i="2"/>
  <c r="E63" i="2"/>
  <c r="K63" i="2" s="1"/>
  <c r="G63" i="2"/>
  <c r="L62" i="2"/>
  <c r="J62" i="2"/>
  <c r="N62" i="2" s="1"/>
  <c r="M62" i="2" s="1"/>
  <c r="C34" i="2" l="1"/>
  <c r="C22" i="5"/>
  <c r="E28" i="2"/>
  <c r="E18" i="5" s="1"/>
  <c r="D18" i="5"/>
  <c r="G26" i="2"/>
  <c r="G16" i="5" s="1"/>
  <c r="F16" i="5"/>
  <c r="F28" i="2"/>
  <c r="H28" i="2"/>
  <c r="H18" i="5" s="1"/>
  <c r="R62" i="2"/>
  <c r="S62" i="2"/>
  <c r="T62" i="2" s="1"/>
  <c r="O62" i="2"/>
  <c r="P62" i="2" s="1"/>
  <c r="D29" i="2" s="1"/>
  <c r="D19" i="5" s="1"/>
  <c r="L63" i="2"/>
  <c r="J63" i="2"/>
  <c r="N63" i="2" s="1"/>
  <c r="M63" i="2" s="1"/>
  <c r="G64" i="2"/>
  <c r="F64" i="2"/>
  <c r="E64" i="2"/>
  <c r="K64" i="2" s="1"/>
  <c r="D64" i="2"/>
  <c r="B66" i="2"/>
  <c r="C65" i="2"/>
  <c r="C35" i="2" l="1"/>
  <c r="C24" i="5"/>
  <c r="G28" i="2"/>
  <c r="G18" i="5" s="1"/>
  <c r="F18" i="5"/>
  <c r="E29" i="2"/>
  <c r="E19" i="5" s="1"/>
  <c r="F29" i="2"/>
  <c r="H29" i="2"/>
  <c r="H19" i="5" s="1"/>
  <c r="S63" i="2"/>
  <c r="T63" i="2" s="1"/>
  <c r="O63" i="2"/>
  <c r="P63" i="2" s="1"/>
  <c r="D30" i="2" s="1"/>
  <c r="D20" i="5" s="1"/>
  <c r="R63" i="2"/>
  <c r="D65" i="2"/>
  <c r="G65" i="2"/>
  <c r="F65" i="2"/>
  <c r="E65" i="2"/>
  <c r="K65" i="2" s="1"/>
  <c r="L64" i="2"/>
  <c r="J64" i="2"/>
  <c r="N64" i="2" s="1"/>
  <c r="M64" i="2" s="1"/>
  <c r="B67" i="2"/>
  <c r="C66" i="2"/>
  <c r="C36" i="2" l="1"/>
  <c r="C25" i="5"/>
  <c r="G29" i="2"/>
  <c r="F19" i="5"/>
  <c r="N76" i="2"/>
  <c r="M76" i="2"/>
  <c r="F30" i="2"/>
  <c r="H30" i="2"/>
  <c r="H20" i="5" s="1"/>
  <c r="S64" i="2"/>
  <c r="R64" i="2"/>
  <c r="O64" i="2"/>
  <c r="P64" i="2" s="1"/>
  <c r="D31" i="2" s="1"/>
  <c r="D21" i="5" s="1"/>
  <c r="B68" i="2"/>
  <c r="C67" i="2"/>
  <c r="L65" i="2"/>
  <c r="J65" i="2"/>
  <c r="N65" i="2" s="1"/>
  <c r="M65" i="2" s="1"/>
  <c r="R65" i="2" s="1"/>
  <c r="F66" i="2"/>
  <c r="E66" i="2"/>
  <c r="K66" i="2" s="1"/>
  <c r="D66" i="2"/>
  <c r="G66" i="2"/>
  <c r="E30" i="2"/>
  <c r="E20" i="5" s="1"/>
  <c r="C37" i="2" l="1"/>
  <c r="C26" i="5"/>
  <c r="O76" i="2"/>
  <c r="P76" i="2" s="1"/>
  <c r="E45" i="2" s="1"/>
  <c r="E34" i="5" s="1"/>
  <c r="G30" i="2"/>
  <c r="G20" i="5" s="1"/>
  <c r="F20" i="5"/>
  <c r="G19" i="5"/>
  <c r="O65" i="2"/>
  <c r="P65" i="2" s="1"/>
  <c r="D32" i="2" s="1"/>
  <c r="D22" i="5" s="1"/>
  <c r="F31" i="2"/>
  <c r="H31" i="2"/>
  <c r="H21" i="5" s="1"/>
  <c r="T64" i="2"/>
  <c r="L66" i="2"/>
  <c r="J66" i="2"/>
  <c r="N66" i="2" s="1"/>
  <c r="M66" i="2" s="1"/>
  <c r="F67" i="2"/>
  <c r="E67" i="2"/>
  <c r="K67" i="2" s="1"/>
  <c r="G67" i="2"/>
  <c r="D67" i="2"/>
  <c r="S65" i="2"/>
  <c r="T65" i="2" s="1"/>
  <c r="B69" i="2"/>
  <c r="C68" i="2"/>
  <c r="E31" i="2"/>
  <c r="E21" i="5" s="1"/>
  <c r="C38" i="2" l="1"/>
  <c r="C27" i="5"/>
  <c r="G31" i="2"/>
  <c r="G21" i="5" s="1"/>
  <c r="F21" i="5"/>
  <c r="E32" i="2"/>
  <c r="E22" i="5" s="1"/>
  <c r="F32" i="2"/>
  <c r="S66" i="2"/>
  <c r="T66" i="2" s="1"/>
  <c r="O66" i="2"/>
  <c r="P66" i="2" s="1"/>
  <c r="D34" i="2" s="1"/>
  <c r="D24" i="5" s="1"/>
  <c r="R66" i="2"/>
  <c r="B70" i="2"/>
  <c r="C69" i="2"/>
  <c r="F68" i="2"/>
  <c r="E68" i="2"/>
  <c r="K68" i="2" s="1"/>
  <c r="D68" i="2"/>
  <c r="G68" i="2"/>
  <c r="H32" i="2"/>
  <c r="H22" i="5" s="1"/>
  <c r="L67" i="2"/>
  <c r="J67" i="2"/>
  <c r="N67" i="2" s="1"/>
  <c r="M67" i="2" s="1"/>
  <c r="C40" i="2" l="1"/>
  <c r="C28" i="5"/>
  <c r="G32" i="2"/>
  <c r="G22" i="5" s="1"/>
  <c r="F22" i="5"/>
  <c r="F34" i="2"/>
  <c r="H34" i="2"/>
  <c r="H24" i="5" s="1"/>
  <c r="E34" i="2"/>
  <c r="E24" i="5" s="1"/>
  <c r="R67" i="2"/>
  <c r="O67" i="2"/>
  <c r="P67" i="2" s="1"/>
  <c r="D35" i="2" s="1"/>
  <c r="D25" i="5" s="1"/>
  <c r="S67" i="2"/>
  <c r="T67" i="2" s="1"/>
  <c r="L68" i="2"/>
  <c r="J68" i="2"/>
  <c r="N68" i="2" s="1"/>
  <c r="M68" i="2" s="1"/>
  <c r="R68" i="2" s="1"/>
  <c r="B71" i="2"/>
  <c r="C70" i="2"/>
  <c r="F69" i="2"/>
  <c r="D69" i="2"/>
  <c r="G69" i="2"/>
  <c r="E69" i="2"/>
  <c r="K69" i="2" s="1"/>
  <c r="C41" i="2" l="1"/>
  <c r="C30" i="5"/>
  <c r="G34" i="2"/>
  <c r="G24" i="5" s="1"/>
  <c r="F24" i="5"/>
  <c r="O68" i="2"/>
  <c r="P68" i="2" s="1"/>
  <c r="D36" i="2" s="1"/>
  <c r="D26" i="5" s="1"/>
  <c r="H35" i="2"/>
  <c r="H25" i="5" s="1"/>
  <c r="F35" i="2"/>
  <c r="L69" i="2"/>
  <c r="J69" i="2"/>
  <c r="N69" i="2" s="1"/>
  <c r="M69" i="2" s="1"/>
  <c r="D70" i="2"/>
  <c r="F70" i="2"/>
  <c r="G70" i="2"/>
  <c r="E70" i="2"/>
  <c r="K70" i="2" s="1"/>
  <c r="S68" i="2"/>
  <c r="H36" i="2" s="1"/>
  <c r="H26" i="5" s="1"/>
  <c r="B72" i="2"/>
  <c r="C71" i="2"/>
  <c r="E35" i="2"/>
  <c r="E25" i="5" s="1"/>
  <c r="C42" i="2" l="1"/>
  <c r="C31" i="5"/>
  <c r="O69" i="2"/>
  <c r="P69" i="2" s="1"/>
  <c r="D37" i="2" s="1"/>
  <c r="D27" i="5" s="1"/>
  <c r="G35" i="2"/>
  <c r="G25" i="5" s="1"/>
  <c r="F25" i="5"/>
  <c r="E36" i="2"/>
  <c r="E26" i="5" s="1"/>
  <c r="F36" i="2"/>
  <c r="F71" i="2"/>
  <c r="G71" i="2"/>
  <c r="E71" i="2"/>
  <c r="K71" i="2" s="1"/>
  <c r="D71" i="2"/>
  <c r="B73" i="2"/>
  <c r="C72" i="2"/>
  <c r="T68" i="2"/>
  <c r="L70" i="2"/>
  <c r="J70" i="2"/>
  <c r="N70" i="2" s="1"/>
  <c r="M70" i="2" s="1"/>
  <c r="S69" i="2"/>
  <c r="T69" i="2" s="1"/>
  <c r="R69" i="2"/>
  <c r="C43" i="2" l="1"/>
  <c r="C32" i="5"/>
  <c r="E37" i="2"/>
  <c r="E27" i="5" s="1"/>
  <c r="G36" i="2"/>
  <c r="G26" i="5" s="1"/>
  <c r="F26" i="5"/>
  <c r="R70" i="2"/>
  <c r="S70" i="2"/>
  <c r="H38" i="2" s="1"/>
  <c r="H28" i="5" s="1"/>
  <c r="O70" i="2"/>
  <c r="P70" i="2" s="1"/>
  <c r="D38" i="2" s="1"/>
  <c r="F37" i="2"/>
  <c r="H37" i="2"/>
  <c r="H27" i="5" s="1"/>
  <c r="L71" i="2"/>
  <c r="J71" i="2"/>
  <c r="N71" i="2" s="1"/>
  <c r="M71" i="2" s="1"/>
  <c r="F72" i="2"/>
  <c r="G72" i="2"/>
  <c r="E72" i="2"/>
  <c r="K72" i="2" s="1"/>
  <c r="D72" i="2"/>
  <c r="B74" i="2"/>
  <c r="C73" i="2"/>
  <c r="C44" i="2" l="1"/>
  <c r="L17" i="2" s="1"/>
  <c r="C33" i="5"/>
  <c r="L16" i="2"/>
  <c r="N17" i="2"/>
  <c r="N16" i="2"/>
  <c r="F38" i="2"/>
  <c r="G38" i="2" s="1"/>
  <c r="G28" i="5" s="1"/>
  <c r="G37" i="2"/>
  <c r="G27" i="5" s="1"/>
  <c r="F27" i="5"/>
  <c r="E38" i="2"/>
  <c r="E28" i="5" s="1"/>
  <c r="D28" i="5"/>
  <c r="T70" i="2"/>
  <c r="O71" i="2"/>
  <c r="P71" i="2" s="1"/>
  <c r="D40" i="2" s="1"/>
  <c r="R71" i="2"/>
  <c r="S71" i="2"/>
  <c r="T71" i="2" s="1"/>
  <c r="L72" i="2"/>
  <c r="J72" i="2"/>
  <c r="N72" i="2" s="1"/>
  <c r="M72" i="2" s="1"/>
  <c r="F73" i="2"/>
  <c r="E73" i="2"/>
  <c r="K73" i="2" s="1"/>
  <c r="G73" i="2"/>
  <c r="D73" i="2"/>
  <c r="C74" i="2"/>
  <c r="B75" i="2"/>
  <c r="N18" i="2" l="1"/>
  <c r="N20" i="2" s="1"/>
  <c r="L25" i="2" s="1"/>
  <c r="C75" i="2"/>
  <c r="L18" i="2"/>
  <c r="L19" i="2" s="1"/>
  <c r="L20" i="2" s="1"/>
  <c r="L24" i="2" s="1"/>
  <c r="F28" i="5"/>
  <c r="E40" i="2"/>
  <c r="E30" i="5" s="1"/>
  <c r="D30" i="5"/>
  <c r="F40" i="2"/>
  <c r="H40" i="2"/>
  <c r="H30" i="5" s="1"/>
  <c r="R72" i="2"/>
  <c r="S72" i="2"/>
  <c r="H41" i="2" s="1"/>
  <c r="H31" i="5" s="1"/>
  <c r="O72" i="2"/>
  <c r="E74" i="2"/>
  <c r="K74" i="2" s="1"/>
  <c r="D74" i="2"/>
  <c r="G74" i="2"/>
  <c r="F74" i="2"/>
  <c r="L73" i="2"/>
  <c r="J73" i="2"/>
  <c r="N73" i="2" s="1"/>
  <c r="M73" i="2" s="1"/>
  <c r="E75" i="2"/>
  <c r="G75" i="2"/>
  <c r="D75" i="2"/>
  <c r="F75" i="2"/>
  <c r="M24" i="2" l="1"/>
  <c r="F9" i="2" s="1"/>
  <c r="N24" i="2"/>
  <c r="G9" i="2" s="1"/>
  <c r="M25" i="2"/>
  <c r="H10" i="2"/>
  <c r="G40" i="2"/>
  <c r="G30" i="5" s="1"/>
  <c r="F30" i="5"/>
  <c r="F41" i="2"/>
  <c r="T72" i="2"/>
  <c r="P72" i="2"/>
  <c r="D41" i="2" s="1"/>
  <c r="D31" i="5" s="1"/>
  <c r="R73" i="2"/>
  <c r="S73" i="2"/>
  <c r="T73" i="2" s="1"/>
  <c r="O73" i="2"/>
  <c r="P73" i="2" s="1"/>
  <c r="D42" i="2" s="1"/>
  <c r="D32" i="5" s="1"/>
  <c r="L75" i="2"/>
  <c r="J75" i="2"/>
  <c r="N75" i="2" s="1"/>
  <c r="M75" i="2" s="1"/>
  <c r="R75" i="2" s="1"/>
  <c r="K75" i="2"/>
  <c r="L74" i="2"/>
  <c r="J74" i="2"/>
  <c r="N74" i="2" s="1"/>
  <c r="M74" i="2" s="1"/>
  <c r="R74" i="2" s="1"/>
  <c r="N25" i="2" l="1"/>
  <c r="G10" i="2" s="1"/>
  <c r="F10" i="2"/>
  <c r="G41" i="2"/>
  <c r="G31" i="5" s="1"/>
  <c r="F31" i="5"/>
  <c r="E41" i="2"/>
  <c r="E31" i="5" s="1"/>
  <c r="H42" i="2"/>
  <c r="H32" i="5" s="1"/>
  <c r="O74" i="2"/>
  <c r="P74" i="2" s="1"/>
  <c r="D43" i="2" s="1"/>
  <c r="F42" i="2"/>
  <c r="S75" i="2"/>
  <c r="S74" i="2"/>
  <c r="H43" i="2" s="1"/>
  <c r="H33" i="5" s="1"/>
  <c r="O75" i="2"/>
  <c r="P75" i="2" s="1"/>
  <c r="D44" i="2" s="1"/>
  <c r="E44" i="2" s="1"/>
  <c r="E42" i="2"/>
  <c r="E32" i="5" s="1"/>
  <c r="T74" i="2" l="1"/>
  <c r="T76" i="2" s="1"/>
  <c r="G45" i="2" s="1"/>
  <c r="G34" i="5" s="1"/>
  <c r="T75" i="2"/>
  <c r="E43" i="2"/>
  <c r="E33" i="5" s="1"/>
  <c r="D33" i="5"/>
  <c r="G42" i="2"/>
  <c r="G32" i="5" s="1"/>
  <c r="F32" i="5"/>
  <c r="F43" i="2"/>
  <c r="F44" i="2"/>
  <c r="G44" i="2" s="1"/>
  <c r="H44" i="2"/>
  <c r="G43" i="2" l="1"/>
  <c r="G33" i="5" s="1"/>
  <c r="F33" i="5"/>
</calcChain>
</file>

<file path=xl/sharedStrings.xml><?xml version="1.0" encoding="utf-8"?>
<sst xmlns="http://schemas.openxmlformats.org/spreadsheetml/2006/main" count="68" uniqueCount="51">
  <si>
    <t>e</t>
  </si>
  <si>
    <t>w</t>
  </si>
  <si>
    <t>C</t>
  </si>
  <si>
    <t>a</t>
  </si>
  <si>
    <t>T</t>
  </si>
  <si>
    <t>g°</t>
  </si>
  <si>
    <t>h</t>
  </si>
  <si>
    <t>Grt</t>
  </si>
  <si>
    <t>UT1</t>
  </si>
  <si>
    <t>°</t>
  </si>
  <si>
    <t xml:space="preserve"> '</t>
  </si>
  <si>
    <t>Unt</t>
  </si>
  <si>
    <t>SONNE</t>
  </si>
  <si>
    <t>d</t>
  </si>
  <si>
    <t xml:space="preserve">  </t>
  </si>
  <si>
    <t>T = 12:00 - g:</t>
  </si>
  <si>
    <t>Unt = Mittelwert:</t>
  </si>
  <si>
    <t xml:space="preserve">T </t>
  </si>
  <si>
    <r>
      <rPr>
        <sz val="14"/>
        <rFont val="Symbol"/>
        <charset val="2"/>
      </rPr>
      <t>e</t>
    </r>
    <r>
      <rPr>
        <sz val="9"/>
        <rFont val="Arial"/>
        <family val="2"/>
      </rPr>
      <t>rad</t>
    </r>
  </si>
  <si>
    <r>
      <rPr>
        <sz val="12"/>
        <color theme="1"/>
        <rFont val="Arial"/>
        <family val="2"/>
      </rPr>
      <t>M</t>
    </r>
    <r>
      <rPr>
        <sz val="9"/>
        <color theme="1"/>
        <rFont val="Calibri (Textkörper)_x0000_"/>
      </rPr>
      <t>rad</t>
    </r>
  </si>
  <si>
    <r>
      <rPr>
        <sz val="12"/>
        <color theme="1"/>
        <rFont val="Arial"/>
        <family val="2"/>
      </rPr>
      <t>L</t>
    </r>
    <r>
      <rPr>
        <sz val="11"/>
        <color theme="1"/>
        <rFont val="Calibri"/>
        <family val="2"/>
        <scheme val="minor"/>
      </rPr>
      <t>rad</t>
    </r>
  </si>
  <si>
    <t>Diff.</t>
  </si>
  <si>
    <r>
      <rPr>
        <sz val="12"/>
        <color theme="1"/>
        <rFont val="Symbol"/>
        <charset val="2"/>
      </rPr>
      <t>L</t>
    </r>
    <r>
      <rPr>
        <sz val="11"/>
        <color theme="1"/>
        <rFont val="Calibri"/>
        <family val="2"/>
        <scheme val="minor"/>
      </rPr>
      <t>rad</t>
    </r>
  </si>
  <si>
    <t>Sun Almanac</t>
  </si>
  <si>
    <t>Grt:</t>
  </si>
  <si>
    <t>UT</t>
  </si>
  <si>
    <t>grt°</t>
  </si>
  <si>
    <t>grt'</t>
  </si>
  <si>
    <t>d°</t>
  </si>
  <si>
    <t>d'</t>
  </si>
  <si>
    <t>Zuwachs</t>
  </si>
  <si>
    <t>Grt + 1h</t>
  </si>
  <si>
    <t>Diff 1</t>
  </si>
  <si>
    <t>Diff 2</t>
  </si>
  <si>
    <t>VZ</t>
  </si>
  <si>
    <t>JJJJ</t>
  </si>
  <si>
    <t>MM</t>
  </si>
  <si>
    <t>TT</t>
  </si>
  <si>
    <t>Greenwich-Stundenwinkel</t>
  </si>
  <si>
    <t>Deklination</t>
  </si>
  <si>
    <t xml:space="preserve">      Grt</t>
  </si>
  <si>
    <t xml:space="preserve">     d</t>
  </si>
  <si>
    <r>
      <rPr>
        <sz val="10"/>
        <color theme="1"/>
        <rFont val="Symbol"/>
        <charset val="2"/>
      </rPr>
      <t>d</t>
    </r>
    <r>
      <rPr>
        <sz val="10"/>
        <color theme="1"/>
        <rFont val="Helvetica Neue"/>
        <family val="2"/>
      </rPr>
      <t xml:space="preserve"> + 1h</t>
    </r>
  </si>
  <si>
    <t>hh</t>
  </si>
  <si>
    <t>mm</t>
  </si>
  <si>
    <t>ss</t>
  </si>
  <si>
    <r>
      <rPr>
        <b/>
        <sz val="12"/>
        <rFont val="Symbol"/>
        <charset val="2"/>
      </rPr>
      <t>d</t>
    </r>
    <r>
      <rPr>
        <b/>
        <sz val="12"/>
        <rFont val="Helvetica Neue"/>
        <family val="2"/>
      </rPr>
      <t>:</t>
    </r>
  </si>
  <si>
    <t>Zeitgenau</t>
  </si>
  <si>
    <t>change</t>
  </si>
  <si>
    <t>Passwort zm Schutz:</t>
  </si>
  <si>
    <r>
      <rPr>
        <sz val="12"/>
        <color rgb="FF0070C0"/>
        <rFont val="Symbol"/>
        <charset val="2"/>
      </rPr>
      <t>a</t>
    </r>
    <r>
      <rPr>
        <sz val="8"/>
        <color rgb="FF0070C0"/>
        <rFont val="Arial"/>
        <family val="2"/>
      </rPr>
      <t>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</si>
</sst>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0.000"/>
    <numFmt numFmtId="165" formatCode="0.000\°"/>
    <numFmt numFmtId="166" formatCode="0.0"/>
    <numFmt numFmtId="167" formatCode="0\°"/>
    <numFmt numFmtId="168" formatCode="0\'"/>
    <numFmt numFmtId="169" formatCode="0.0\'"/>
    <numFmt numFmtId="170" formatCode="0.0000"/>
    <numFmt numFmtId="171" formatCode="00"/>
    <numFmt numFmtId="172" formatCode="h:mm;@"/>
    <numFmt numFmtId="173" formatCode="0\'\'"/>
    <numFmt numFmtId="174" formatCode="0.00000"/>
    <numFmt numFmtId="175" formatCode="[$-F800]dddd\,\ mmmm\ dd\,\ yyyy"/>
    <numFmt numFmtId="176" formatCode="[$-407]d/\ mmm/\ yy;@"/>
    <numFmt numFmtId="177" formatCode="[$-407]d/\ mmm/;@"/>
    <numFmt numFmtId="178" formatCode="00.0\'"/>
    <numFmt numFmtId="179" formatCode="00.00\'"/>
    <numFmt numFmtId="181" formatCode="000\°"/>
  </numFmts>
  <fonts count="42">
    <font>
      <sz val="12"/>
      <color theme="1"/>
      <name val="Calibri"/>
      <family val="2"/>
      <scheme val="minor"/>
    </font>
    <font>
      <sz val="12"/>
      <color theme="1"/>
      <name val="Symbol"/>
      <charset val="2"/>
    </font>
    <font>
      <b/>
      <sz val="12"/>
      <color theme="1"/>
      <name val="Calibri"/>
      <family val="2"/>
      <scheme val="minor"/>
    </font>
    <font>
      <sz val="9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70C0"/>
      <name val="Arial"/>
      <family val="2"/>
    </font>
    <font>
      <sz val="11"/>
      <color rgb="FF0070C0"/>
      <name val="Calibri"/>
      <family val="2"/>
      <scheme val="minor"/>
    </font>
    <font>
      <sz val="11"/>
      <name val="Symbol"/>
      <charset val="2"/>
    </font>
    <font>
      <sz val="12"/>
      <color rgb="FF0070C0"/>
      <name val="Calibri"/>
      <family val="2"/>
      <scheme val="minor"/>
    </font>
    <font>
      <sz val="11"/>
      <color theme="1"/>
      <name val="Calibri"/>
      <family val="2"/>
      <charset val="2"/>
      <scheme val="minor"/>
    </font>
    <font>
      <sz val="11"/>
      <name val="Calibri"/>
      <family val="2"/>
      <scheme val="minor"/>
    </font>
    <font>
      <sz val="9"/>
      <color theme="1"/>
      <name val="Calibri (Textkörper)_x0000_"/>
    </font>
    <font>
      <sz val="14"/>
      <name val="Symbol"/>
      <charset val="2"/>
    </font>
    <font>
      <sz val="12"/>
      <color theme="1"/>
      <name val="Calibri"/>
      <family val="2"/>
    </font>
    <font>
      <sz val="12"/>
      <color rgb="FF0070C0"/>
      <name val="Arial"/>
      <family val="2"/>
    </font>
    <font>
      <sz val="12"/>
      <color theme="2" tint="-0.249977111117893"/>
      <name val="Calibri"/>
      <family val="2"/>
      <scheme val="minor"/>
    </font>
    <font>
      <sz val="14"/>
      <color rgb="FF0070C0"/>
      <name val="Symbol"/>
      <charset val="2"/>
    </font>
    <font>
      <sz val="12"/>
      <name val="Calibri"/>
      <family val="2"/>
      <scheme val="minor"/>
    </font>
    <font>
      <sz val="11"/>
      <name val="Arial"/>
      <family val="2"/>
    </font>
    <font>
      <i/>
      <sz val="20"/>
      <color rgb="FFC00000"/>
      <name val="Delta Jaeger Bold"/>
    </font>
    <font>
      <sz val="12"/>
      <color theme="1"/>
      <name val="Helvetica Neue"/>
      <family val="2"/>
    </font>
    <font>
      <sz val="12"/>
      <name val="Helvetica Neue"/>
      <family val="2"/>
    </font>
    <font>
      <sz val="10"/>
      <color theme="1"/>
      <name val="Helvetica Neue"/>
      <family val="2"/>
    </font>
    <font>
      <sz val="14"/>
      <color theme="1"/>
      <name val="Helvetica Neue"/>
      <family val="2"/>
    </font>
    <font>
      <sz val="14"/>
      <color theme="1"/>
      <name val="Symbol"/>
      <charset val="2"/>
    </font>
    <font>
      <sz val="10"/>
      <color rgb="FF000000"/>
      <name val="Helvetica Neue"/>
      <family val="2"/>
    </font>
    <font>
      <sz val="10"/>
      <color theme="1"/>
      <name val="Symbol"/>
      <charset val="2"/>
    </font>
    <font>
      <sz val="10"/>
      <color theme="1"/>
      <name val="Helvetica Neue"/>
      <family val="1"/>
      <charset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Symbol"/>
      <charset val="2"/>
    </font>
    <font>
      <sz val="10"/>
      <name val="Helvetica Neue"/>
      <family val="2"/>
    </font>
    <font>
      <b/>
      <sz val="12"/>
      <color theme="1"/>
      <name val="Helvetica Neue"/>
      <family val="2"/>
    </font>
    <font>
      <b/>
      <sz val="12"/>
      <name val="Helvetica Neue"/>
      <family val="2"/>
    </font>
    <font>
      <b/>
      <sz val="12"/>
      <name val="Helvetica Neue"/>
      <family val="2"/>
      <charset val="2"/>
    </font>
    <font>
      <b/>
      <sz val="12"/>
      <name val="Symbol"/>
      <charset val="2"/>
    </font>
    <font>
      <sz val="12"/>
      <color rgb="FF0070C0"/>
      <name val="Symbol"/>
      <charset val="2"/>
    </font>
    <font>
      <sz val="12"/>
      <color rgb="FF0070C0"/>
      <name val="Arial"/>
      <family val="2"/>
      <charset val="2"/>
    </font>
    <font>
      <sz val="8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hair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hair">
        <color rgb="FFFF0000"/>
      </bottom>
      <diagonal/>
    </border>
    <border>
      <left style="medium">
        <color rgb="FFFF0000"/>
      </left>
      <right style="thin">
        <color rgb="FFFF0000"/>
      </right>
      <top style="hair">
        <color rgb="FFFF0000"/>
      </top>
      <bottom style="hair">
        <color rgb="FFFF0000"/>
      </bottom>
      <diagonal/>
    </border>
    <border>
      <left style="thin">
        <color rgb="FFFF0000"/>
      </left>
      <right style="medium">
        <color rgb="FFFF0000"/>
      </right>
      <top style="hair">
        <color rgb="FFFF0000"/>
      </top>
      <bottom style="hair">
        <color rgb="FFFF0000"/>
      </bottom>
      <diagonal/>
    </border>
    <border>
      <left style="medium">
        <color rgb="FFFF0000"/>
      </left>
      <right style="thin">
        <color rgb="FFFF0000"/>
      </right>
      <top style="hair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hair">
        <color rgb="FFFF0000"/>
      </top>
      <bottom style="medium">
        <color rgb="FFFF0000"/>
      </bottom>
      <diagonal/>
    </border>
    <border>
      <left style="medium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 style="thin">
        <color rgb="FFC00000"/>
      </bottom>
      <diagonal/>
    </border>
    <border>
      <left style="medium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/>
      <bottom style="hair">
        <color rgb="FF0070C0"/>
      </bottom>
      <diagonal/>
    </border>
    <border>
      <left style="thin">
        <color rgb="FF0070C0"/>
      </left>
      <right style="thin">
        <color rgb="FF0070C0"/>
      </right>
      <top/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/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C00000"/>
      </left>
      <right style="thin">
        <color rgb="FFC00000"/>
      </right>
      <top style="hair">
        <color rgb="FFC00000"/>
      </top>
      <bottom style="hair">
        <color rgb="FFC00000"/>
      </bottom>
      <diagonal/>
    </border>
    <border>
      <left style="thin">
        <color rgb="FFC00000"/>
      </left>
      <right style="thin">
        <color rgb="FFC00000"/>
      </right>
      <top style="hair">
        <color rgb="FFC00000"/>
      </top>
      <bottom style="hair">
        <color rgb="FFC00000"/>
      </bottom>
      <diagonal/>
    </border>
    <border>
      <left style="thin">
        <color rgb="FFC00000"/>
      </left>
      <right style="medium">
        <color rgb="FFC00000"/>
      </right>
      <top style="hair">
        <color rgb="FFC00000"/>
      </top>
      <bottom style="hair">
        <color rgb="FFC00000"/>
      </bottom>
      <diagonal/>
    </border>
    <border>
      <left style="medium">
        <color rgb="FFC00000"/>
      </left>
      <right style="thin">
        <color rgb="FFC00000"/>
      </right>
      <top/>
      <bottom style="hair">
        <color rgb="FFC00000"/>
      </bottom>
      <diagonal/>
    </border>
    <border>
      <left style="thin">
        <color rgb="FFC00000"/>
      </left>
      <right style="thin">
        <color rgb="FFC00000"/>
      </right>
      <top/>
      <bottom style="hair">
        <color rgb="FFC00000"/>
      </bottom>
      <diagonal/>
    </border>
    <border>
      <left style="thin">
        <color rgb="FFC00000"/>
      </left>
      <right style="medium">
        <color rgb="FFC00000"/>
      </right>
      <top/>
      <bottom style="hair">
        <color rgb="FFC00000"/>
      </bottom>
      <diagonal/>
    </border>
    <border>
      <left style="medium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thin">
        <color rgb="FFC00000"/>
      </right>
      <top style="hair">
        <color rgb="FFC00000"/>
      </top>
      <bottom/>
      <diagonal/>
    </border>
    <border>
      <left style="thin">
        <color rgb="FFC00000"/>
      </left>
      <right style="thin">
        <color rgb="FFC00000"/>
      </right>
      <top style="hair">
        <color rgb="FFC00000"/>
      </top>
      <bottom/>
      <diagonal/>
    </border>
    <border>
      <left style="thin">
        <color rgb="FFC00000"/>
      </left>
      <right style="medium">
        <color rgb="FFC00000"/>
      </right>
      <top style="hair">
        <color rgb="FFC00000"/>
      </top>
      <bottom/>
      <diagonal/>
    </border>
    <border>
      <left style="thin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/>
      <top/>
      <bottom style="medium">
        <color rgb="FFC00000"/>
      </bottom>
      <diagonal/>
    </border>
    <border>
      <left style="medium">
        <color rgb="FF0070C0"/>
      </left>
      <right/>
      <top style="medium">
        <color rgb="FF0070C0"/>
      </top>
      <bottom style="thin">
        <color rgb="FF0070C0"/>
      </bottom>
      <diagonal/>
    </border>
    <border>
      <left/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/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medium">
        <color rgb="FF0070C0"/>
      </top>
      <bottom style="thin">
        <color rgb="FF0070C0"/>
      </bottom>
      <diagonal/>
    </border>
    <border>
      <left/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thin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/>
      <top/>
      <bottom style="hair">
        <color rgb="FF0070C0"/>
      </bottom>
      <diagonal/>
    </border>
    <border>
      <left/>
      <right style="thin">
        <color rgb="FF0070C0"/>
      </right>
      <top/>
      <bottom style="hair">
        <color rgb="FF0070C0"/>
      </bottom>
      <diagonal/>
    </border>
    <border>
      <left style="thin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/>
      <top style="hair">
        <color rgb="FF0070C0"/>
      </top>
      <bottom style="medium">
        <color rgb="FF0070C0"/>
      </bottom>
      <diagonal/>
    </border>
    <border>
      <left/>
      <right style="thin">
        <color rgb="FF0070C0"/>
      </right>
      <top style="hair">
        <color rgb="FF0070C0"/>
      </top>
      <bottom style="medium">
        <color rgb="FF0070C0"/>
      </bottom>
      <diagonal/>
    </border>
  </borders>
  <cellStyleXfs count="1">
    <xf numFmtId="0" fontId="0" fillId="0" borderId="0"/>
  </cellStyleXfs>
  <cellXfs count="241">
    <xf numFmtId="0" fontId="0" fillId="0" borderId="0" xfId="0"/>
    <xf numFmtId="164" fontId="0" fillId="0" borderId="0" xfId="0" applyNumberFormat="1"/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" fontId="3" fillId="0" borderId="0" xfId="0" applyNumberFormat="1" applyFont="1" applyFill="1" applyBorder="1" applyAlignment="1" applyProtection="1">
      <alignment horizontal="right" vertical="center"/>
      <protection hidden="1"/>
    </xf>
    <xf numFmtId="166" fontId="3" fillId="0" borderId="0" xfId="0" applyNumberFormat="1" applyFont="1" applyBorder="1" applyAlignment="1" applyProtection="1">
      <alignment horizontal="right" vertical="center"/>
      <protection hidden="1"/>
    </xf>
    <xf numFmtId="0" fontId="4" fillId="2" borderId="0" xfId="0" applyFont="1" applyFill="1" applyBorder="1" applyAlignment="1">
      <alignment horizontal="center"/>
    </xf>
    <xf numFmtId="0" fontId="0" fillId="0" borderId="12" xfId="0" applyBorder="1"/>
    <xf numFmtId="0" fontId="6" fillId="0" borderId="0" xfId="0" applyFont="1"/>
    <xf numFmtId="0" fontId="0" fillId="2" borderId="10" xfId="0" applyFill="1" applyBorder="1"/>
    <xf numFmtId="0" fontId="4" fillId="2" borderId="0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171" fontId="4" fillId="3" borderId="13" xfId="0" applyNumberFormat="1" applyFont="1" applyFill="1" applyBorder="1" applyAlignment="1">
      <alignment horizontal="center"/>
    </xf>
    <xf numFmtId="0" fontId="0" fillId="3" borderId="9" xfId="0" applyFill="1" applyBorder="1"/>
    <xf numFmtId="171" fontId="0" fillId="3" borderId="13" xfId="0" applyNumberFormat="1" applyFill="1" applyBorder="1"/>
    <xf numFmtId="0" fontId="0" fillId="3" borderId="17" xfId="0" applyFill="1" applyBorder="1"/>
    <xf numFmtId="1" fontId="12" fillId="0" borderId="0" xfId="0" applyNumberFormat="1" applyFont="1" applyFill="1" applyBorder="1" applyAlignment="1" applyProtection="1">
      <alignment horizontal="right" vertical="center"/>
      <protection hidden="1"/>
    </xf>
    <xf numFmtId="166" fontId="12" fillId="0" borderId="0" xfId="0" applyNumberFormat="1" applyFont="1" applyFill="1" applyBorder="1" applyAlignment="1" applyProtection="1">
      <alignment horizontal="center" vertical="center"/>
      <protection hidden="1"/>
    </xf>
    <xf numFmtId="166" fontId="12" fillId="0" borderId="0" xfId="0" applyNumberFormat="1" applyFont="1" applyBorder="1" applyAlignment="1" applyProtection="1">
      <alignment horizontal="center" vertical="center"/>
      <protection hidden="1"/>
    </xf>
    <xf numFmtId="169" fontId="0" fillId="3" borderId="0" xfId="0" applyNumberFormat="1" applyFill="1" applyBorder="1" applyAlignment="1">
      <alignment horizontal="center"/>
    </xf>
    <xf numFmtId="167" fontId="0" fillId="3" borderId="3" xfId="0" applyNumberFormat="1" applyFill="1" applyBorder="1" applyAlignment="1">
      <alignment horizontal="right"/>
    </xf>
    <xf numFmtId="167" fontId="0" fillId="3" borderId="0" xfId="0" applyNumberFormat="1" applyFill="1"/>
    <xf numFmtId="169" fontId="0" fillId="3" borderId="4" xfId="0" applyNumberFormat="1" applyFill="1" applyBorder="1" applyAlignment="1">
      <alignment horizontal="center"/>
    </xf>
    <xf numFmtId="169" fontId="0" fillId="3" borderId="4" xfId="0" applyNumberFormat="1" applyFill="1" applyBorder="1"/>
    <xf numFmtId="16" fontId="0" fillId="0" borderId="12" xfId="0" applyNumberFormat="1" applyBorder="1"/>
    <xf numFmtId="170" fontId="0" fillId="0" borderId="0" xfId="0" applyNumberFormat="1"/>
    <xf numFmtId="0" fontId="4" fillId="2" borderId="0" xfId="0" applyFont="1" applyFill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right"/>
    </xf>
    <xf numFmtId="1" fontId="12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center"/>
    </xf>
    <xf numFmtId="174" fontId="20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1" fontId="20" fillId="0" borderId="0" xfId="0" applyNumberFormat="1" applyFont="1" applyAlignment="1">
      <alignment horizontal="right"/>
    </xf>
    <xf numFmtId="0" fontId="19" fillId="0" borderId="0" xfId="0" applyFont="1" applyBorder="1"/>
    <xf numFmtId="170" fontId="20" fillId="0" borderId="0" xfId="0" applyNumberFormat="1" applyFont="1" applyAlignment="1">
      <alignment horizontal="center"/>
    </xf>
    <xf numFmtId="1" fontId="20" fillId="0" borderId="0" xfId="0" applyNumberFormat="1" applyFont="1"/>
    <xf numFmtId="2" fontId="19" fillId="0" borderId="0" xfId="0" applyNumberFormat="1" applyFont="1"/>
    <xf numFmtId="0" fontId="22" fillId="0" borderId="0" xfId="0" applyFont="1"/>
    <xf numFmtId="0" fontId="23" fillId="0" borderId="0" xfId="0" applyFont="1"/>
    <xf numFmtId="0" fontId="0" fillId="2" borderId="9" xfId="0" applyFill="1" applyBorder="1" applyAlignment="1"/>
    <xf numFmtId="0" fontId="0" fillId="2" borderId="5" xfId="0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6" fontId="23" fillId="0" borderId="0" xfId="0" applyNumberFormat="1" applyFont="1"/>
    <xf numFmtId="0" fontId="24" fillId="0" borderId="18" xfId="0" applyFont="1" applyBorder="1" applyAlignment="1" applyProtection="1">
      <alignment horizontal="center"/>
      <protection hidden="1"/>
    </xf>
    <xf numFmtId="0" fontId="24" fillId="0" borderId="19" xfId="0" applyFont="1" applyBorder="1" applyAlignment="1" applyProtection="1">
      <alignment horizontal="center"/>
      <protection hidden="1"/>
    </xf>
    <xf numFmtId="177" fontId="24" fillId="0" borderId="22" xfId="0" applyNumberFormat="1" applyFont="1" applyBorder="1" applyAlignment="1" applyProtection="1">
      <alignment horizontal="center"/>
      <protection hidden="1"/>
    </xf>
    <xf numFmtId="1" fontId="24" fillId="0" borderId="23" xfId="0" applyNumberFormat="1" applyFont="1" applyBorder="1" applyAlignment="1" applyProtection="1">
      <alignment horizontal="center"/>
      <protection hidden="1"/>
    </xf>
    <xf numFmtId="1" fontId="24" fillId="0" borderId="22" xfId="0" applyNumberFormat="1" applyFont="1" applyBorder="1" applyAlignment="1" applyProtection="1">
      <alignment horizontal="center"/>
      <protection hidden="1"/>
    </xf>
    <xf numFmtId="164" fontId="12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0" fillId="2" borderId="9" xfId="0" applyFill="1" applyBorder="1" applyAlignment="1">
      <alignment vertical="center"/>
    </xf>
    <xf numFmtId="0" fontId="6" fillId="0" borderId="31" xfId="0" applyFont="1" applyBorder="1"/>
    <xf numFmtId="164" fontId="6" fillId="0" borderId="32" xfId="0" applyNumberFormat="1" applyFont="1" applyBorder="1" applyAlignment="1">
      <alignment horizontal="center"/>
    </xf>
    <xf numFmtId="174" fontId="7" fillId="0" borderId="32" xfId="0" applyNumberFormat="1" applyFont="1" applyBorder="1"/>
    <xf numFmtId="165" fontId="7" fillId="0" borderId="32" xfId="0" applyNumberFormat="1" applyFont="1" applyBorder="1"/>
    <xf numFmtId="165" fontId="10" fillId="0" borderId="32" xfId="0" applyNumberFormat="1" applyFont="1" applyBorder="1"/>
    <xf numFmtId="166" fontId="7" fillId="0" borderId="32" xfId="0" applyNumberFormat="1" applyFont="1" applyBorder="1"/>
    <xf numFmtId="170" fontId="6" fillId="0" borderId="32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0" fontId="6" fillId="0" borderId="34" xfId="0" applyFont="1" applyBorder="1"/>
    <xf numFmtId="164" fontId="6" fillId="0" borderId="35" xfId="0" applyNumberFormat="1" applyFont="1" applyBorder="1" applyAlignment="1">
      <alignment horizontal="center"/>
    </xf>
    <xf numFmtId="174" fontId="7" fillId="0" borderId="35" xfId="0" applyNumberFormat="1" applyFont="1" applyBorder="1"/>
    <xf numFmtId="165" fontId="7" fillId="0" borderId="35" xfId="0" applyNumberFormat="1" applyFont="1" applyBorder="1"/>
    <xf numFmtId="165" fontId="10" fillId="0" borderId="35" xfId="0" applyNumberFormat="1" applyFont="1" applyBorder="1"/>
    <xf numFmtId="166" fontId="7" fillId="0" borderId="35" xfId="0" applyNumberFormat="1" applyFont="1" applyBorder="1"/>
    <xf numFmtId="170" fontId="6" fillId="0" borderId="35" xfId="0" applyNumberFormat="1" applyFont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0" fontId="6" fillId="0" borderId="31" xfId="0" applyFont="1" applyFill="1" applyBorder="1"/>
    <xf numFmtId="164" fontId="6" fillId="0" borderId="32" xfId="0" applyNumberFormat="1" applyFont="1" applyFill="1" applyBorder="1" applyAlignment="1">
      <alignment horizontal="center"/>
    </xf>
    <xf numFmtId="174" fontId="7" fillId="0" borderId="32" xfId="0" applyNumberFormat="1" applyFont="1" applyFill="1" applyBorder="1"/>
    <xf numFmtId="165" fontId="7" fillId="0" borderId="32" xfId="0" applyNumberFormat="1" applyFont="1" applyFill="1" applyBorder="1"/>
    <xf numFmtId="165" fontId="10" fillId="0" borderId="32" xfId="0" applyNumberFormat="1" applyFont="1" applyFill="1" applyBorder="1"/>
    <xf numFmtId="166" fontId="7" fillId="0" borderId="32" xfId="0" applyNumberFormat="1" applyFont="1" applyFill="1" applyBorder="1"/>
    <xf numFmtId="170" fontId="6" fillId="0" borderId="32" xfId="0" applyNumberFormat="1" applyFont="1" applyFill="1" applyBorder="1" applyAlignment="1">
      <alignment horizontal="center"/>
    </xf>
    <xf numFmtId="2" fontId="6" fillId="0" borderId="33" xfId="0" applyNumberFormat="1" applyFont="1" applyFill="1" applyBorder="1" applyAlignment="1">
      <alignment horizontal="center"/>
    </xf>
    <xf numFmtId="0" fontId="0" fillId="0" borderId="37" xfId="0" applyBorder="1"/>
    <xf numFmtId="0" fontId="8" fillId="0" borderId="38" xfId="0" applyFont="1" applyBorder="1"/>
    <xf numFmtId="0" fontId="0" fillId="0" borderId="38" xfId="0" applyBorder="1"/>
    <xf numFmtId="0" fontId="0" fillId="0" borderId="38" xfId="0" applyBorder="1" applyAlignment="1">
      <alignment horizontal="center"/>
    </xf>
    <xf numFmtId="0" fontId="5" fillId="0" borderId="38" xfId="0" applyFont="1" applyBorder="1"/>
    <xf numFmtId="0" fontId="5" fillId="0" borderId="38" xfId="0" applyFont="1" applyBorder="1" applyAlignment="1">
      <alignment horizontal="center"/>
    </xf>
    <xf numFmtId="0" fontId="4" fillId="0" borderId="38" xfId="0" applyFont="1" applyBorder="1"/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right"/>
    </xf>
    <xf numFmtId="0" fontId="4" fillId="0" borderId="41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45" xfId="0" applyBorder="1"/>
    <xf numFmtId="164" fontId="17" fillId="0" borderId="43" xfId="0" applyNumberFormat="1" applyFont="1" applyBorder="1"/>
    <xf numFmtId="164" fontId="0" fillId="0" borderId="44" xfId="0" applyNumberFormat="1" applyBorder="1"/>
    <xf numFmtId="164" fontId="0" fillId="0" borderId="45" xfId="0" applyNumberFormat="1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164" fontId="1" fillId="0" borderId="49" xfId="0" applyNumberFormat="1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64" fontId="17" fillId="0" borderId="51" xfId="0" applyNumberFormat="1" applyFont="1" applyBorder="1"/>
    <xf numFmtId="164" fontId="0" fillId="0" borderId="52" xfId="0" applyNumberFormat="1" applyBorder="1"/>
    <xf numFmtId="164" fontId="0" fillId="0" borderId="53" xfId="0" applyNumberFormat="1" applyBorder="1"/>
    <xf numFmtId="0" fontId="0" fillId="0" borderId="49" xfId="0" applyBorder="1"/>
    <xf numFmtId="0" fontId="0" fillId="0" borderId="54" xfId="0" applyBorder="1" applyAlignment="1">
      <alignment horizontal="right"/>
    </xf>
    <xf numFmtId="166" fontId="0" fillId="0" borderId="55" xfId="0" applyNumberFormat="1" applyBorder="1"/>
    <xf numFmtId="0" fontId="0" fillId="0" borderId="56" xfId="0" applyBorder="1"/>
    <xf numFmtId="0" fontId="0" fillId="0" borderId="57" xfId="0" applyBorder="1"/>
    <xf numFmtId="164" fontId="0" fillId="0" borderId="57" xfId="0" applyNumberFormat="1" applyBorder="1"/>
    <xf numFmtId="170" fontId="6" fillId="0" borderId="57" xfId="0" applyNumberFormat="1" applyFont="1" applyBorder="1" applyAlignment="1">
      <alignment horizontal="center"/>
    </xf>
    <xf numFmtId="164" fontId="6" fillId="0" borderId="57" xfId="0" applyNumberFormat="1" applyFont="1" applyBorder="1" applyAlignment="1">
      <alignment horizontal="right"/>
    </xf>
    <xf numFmtId="172" fontId="6" fillId="0" borderId="57" xfId="0" applyNumberFormat="1" applyFont="1" applyBorder="1" applyAlignment="1">
      <alignment horizontal="center"/>
    </xf>
    <xf numFmtId="168" fontId="6" fillId="0" borderId="57" xfId="0" applyNumberFormat="1" applyFont="1" applyBorder="1" applyAlignment="1">
      <alignment horizontal="center"/>
    </xf>
    <xf numFmtId="173" fontId="0" fillId="0" borderId="57" xfId="0" applyNumberFormat="1" applyBorder="1" applyAlignment="1">
      <alignment horizontal="center"/>
    </xf>
    <xf numFmtId="172" fontId="6" fillId="0" borderId="58" xfId="0" applyNumberFormat="1" applyFont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0" fontId="23" fillId="0" borderId="0" xfId="0" applyFont="1" applyBorder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0" fontId="25" fillId="0" borderId="6" xfId="0" applyFont="1" applyBorder="1" applyAlignment="1">
      <alignment horizontal="center" vertical="center"/>
    </xf>
    <xf numFmtId="169" fontId="25" fillId="0" borderId="4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0" fillId="0" borderId="7" xfId="0" applyBorder="1"/>
    <xf numFmtId="167" fontId="25" fillId="0" borderId="0" xfId="0" applyNumberFormat="1" applyFont="1" applyBorder="1" applyAlignment="1">
      <alignment horizontal="right" vertical="center"/>
    </xf>
    <xf numFmtId="167" fontId="25" fillId="0" borderId="0" xfId="0" applyNumberFormat="1" applyFont="1" applyBorder="1" applyAlignment="1">
      <alignment vertical="center"/>
    </xf>
    <xf numFmtId="0" fontId="25" fillId="4" borderId="0" xfId="0" applyFont="1" applyFill="1" applyBorder="1" applyAlignment="1">
      <alignment horizontal="right" vertical="center"/>
    </xf>
    <xf numFmtId="169" fontId="25" fillId="0" borderId="9" xfId="0" applyNumberFormat="1" applyFont="1" applyBorder="1" applyAlignment="1">
      <alignment vertical="center"/>
    </xf>
    <xf numFmtId="0" fontId="26" fillId="4" borderId="9" xfId="0" applyFont="1" applyFill="1" applyBorder="1" applyAlignment="1">
      <alignment vertical="center"/>
    </xf>
    <xf numFmtId="178" fontId="25" fillId="0" borderId="0" xfId="0" applyNumberFormat="1" applyFont="1" applyBorder="1" applyAlignment="1">
      <alignment horizontal="center" vertical="center"/>
    </xf>
    <xf numFmtId="178" fontId="0" fillId="3" borderId="0" xfId="0" applyNumberFormat="1" applyFill="1" applyBorder="1" applyAlignment="1">
      <alignment horizontal="center"/>
    </xf>
    <xf numFmtId="178" fontId="0" fillId="3" borderId="0" xfId="0" applyNumberFormat="1" applyFill="1"/>
    <xf numFmtId="0" fontId="25" fillId="0" borderId="14" xfId="0" applyFont="1" applyBorder="1" applyAlignment="1">
      <alignment horizontal="center" vertical="top"/>
    </xf>
    <xf numFmtId="0" fontId="25" fillId="0" borderId="8" xfId="0" applyFont="1" applyBorder="1" applyAlignment="1">
      <alignment vertical="top"/>
    </xf>
    <xf numFmtId="0" fontId="24" fillId="0" borderId="22" xfId="0" applyFont="1" applyBorder="1" applyAlignment="1" applyProtection="1">
      <alignment horizontal="center"/>
      <protection hidden="1"/>
    </xf>
    <xf numFmtId="164" fontId="31" fillId="0" borderId="0" xfId="0" applyNumberFormat="1" applyFont="1" applyAlignment="1">
      <alignment horizontal="center"/>
    </xf>
    <xf numFmtId="164" fontId="32" fillId="0" borderId="0" xfId="0" applyNumberFormat="1" applyFont="1" applyAlignment="1">
      <alignment horizontal="center"/>
    </xf>
    <xf numFmtId="0" fontId="28" fillId="0" borderId="18" xfId="0" applyFont="1" applyBorder="1" applyAlignment="1" applyProtection="1">
      <alignment horizontal="center"/>
      <protection hidden="1"/>
    </xf>
    <xf numFmtId="0" fontId="24" fillId="0" borderId="20" xfId="0" applyFont="1" applyBorder="1" applyAlignment="1" applyProtection="1">
      <alignment horizontal="center"/>
      <protection hidden="1"/>
    </xf>
    <xf numFmtId="0" fontId="29" fillId="0" borderId="20" xfId="0" applyFont="1" applyBorder="1" applyAlignment="1" applyProtection="1">
      <alignment horizontal="center"/>
      <protection hidden="1"/>
    </xf>
    <xf numFmtId="177" fontId="24" fillId="0" borderId="20" xfId="0" applyNumberFormat="1" applyFont="1" applyBorder="1" applyAlignment="1" applyProtection="1">
      <alignment horizontal="center"/>
      <protection hidden="1"/>
    </xf>
    <xf numFmtId="0" fontId="30" fillId="0" borderId="0" xfId="0" applyFont="1" applyAlignment="1"/>
    <xf numFmtId="166" fontId="33" fillId="0" borderId="26" xfId="0" applyNumberFormat="1" applyFont="1" applyFill="1" applyBorder="1" applyAlignment="1" applyProtection="1">
      <alignment horizontal="center"/>
      <protection hidden="1"/>
    </xf>
    <xf numFmtId="176" fontId="34" fillId="0" borderId="24" xfId="0" applyNumberFormat="1" applyFont="1" applyFill="1" applyBorder="1" applyAlignment="1" applyProtection="1">
      <alignment horizontal="center"/>
      <protection hidden="1"/>
    </xf>
    <xf numFmtId="165" fontId="34" fillId="0" borderId="25" xfId="0" applyNumberFormat="1" applyFont="1" applyFill="1" applyBorder="1" applyAlignment="1" applyProtection="1">
      <alignment horizontal="center"/>
      <protection hidden="1"/>
    </xf>
    <xf numFmtId="165" fontId="34" fillId="0" borderId="27" xfId="0" applyNumberFormat="1" applyFont="1" applyBorder="1" applyAlignment="1">
      <alignment horizontal="center"/>
    </xf>
    <xf numFmtId="165" fontId="27" fillId="0" borderId="19" xfId="0" applyNumberFormat="1" applyFont="1" applyBorder="1" applyAlignment="1" applyProtection="1">
      <alignment horizontal="center"/>
      <protection hidden="1"/>
    </xf>
    <xf numFmtId="165" fontId="27" fillId="0" borderId="21" xfId="0" applyNumberFormat="1" applyFont="1" applyBorder="1" applyAlignment="1" applyProtection="1">
      <alignment horizontal="center"/>
      <protection hidden="1"/>
    </xf>
    <xf numFmtId="165" fontId="24" fillId="0" borderId="21" xfId="0" applyNumberFormat="1" applyFont="1" applyBorder="1" applyAlignment="1" applyProtection="1">
      <alignment horizontal="center"/>
      <protection hidden="1"/>
    </xf>
    <xf numFmtId="165" fontId="24" fillId="0" borderId="23" xfId="0" applyNumberFormat="1" applyFont="1" applyBorder="1" applyAlignment="1" applyProtection="1">
      <alignment horizontal="center"/>
      <protection hidden="1"/>
    </xf>
    <xf numFmtId="165" fontId="24" fillId="0" borderId="19" xfId="0" applyNumberFormat="1" applyFont="1" applyBorder="1" applyAlignment="1" applyProtection="1">
      <alignment horizontal="center"/>
      <protection hidden="1"/>
    </xf>
    <xf numFmtId="179" fontId="34" fillId="0" borderId="25" xfId="0" applyNumberFormat="1" applyFont="1" applyFill="1" applyBorder="1" applyAlignment="1" applyProtection="1">
      <alignment horizontal="center"/>
      <protection hidden="1"/>
    </xf>
    <xf numFmtId="179" fontId="34" fillId="0" borderId="27" xfId="0" applyNumberFormat="1" applyFont="1" applyFill="1" applyBorder="1" applyAlignment="1" applyProtection="1">
      <alignment horizontal="center"/>
      <protection hidden="1"/>
    </xf>
    <xf numFmtId="167" fontId="34" fillId="0" borderId="29" xfId="0" applyNumberFormat="1" applyFont="1" applyFill="1" applyBorder="1" applyAlignment="1" applyProtection="1">
      <alignment horizontal="center"/>
      <protection hidden="1"/>
    </xf>
    <xf numFmtId="167" fontId="34" fillId="0" borderId="30" xfId="0" applyNumberFormat="1" applyFont="1" applyFill="1" applyBorder="1" applyAlignment="1" applyProtection="1">
      <alignment horizontal="center"/>
      <protection hidden="1"/>
    </xf>
    <xf numFmtId="175" fontId="22" fillId="2" borderId="10" xfId="0" applyNumberFormat="1" applyFont="1" applyFill="1" applyBorder="1" applyAlignment="1">
      <alignment horizontal="center"/>
    </xf>
    <xf numFmtId="175" fontId="22" fillId="2" borderId="11" xfId="0" applyNumberFormat="1" applyFont="1" applyFill="1" applyBorder="1" applyAlignment="1">
      <alignment horizontal="center"/>
    </xf>
    <xf numFmtId="0" fontId="4" fillId="0" borderId="59" xfId="0" applyFont="1" applyBorder="1" applyAlignment="1">
      <alignment horizontal="left"/>
    </xf>
    <xf numFmtId="0" fontId="0" fillId="0" borderId="60" xfId="0" applyBorder="1" applyAlignment="1">
      <alignment horizontal="left"/>
    </xf>
    <xf numFmtId="0" fontId="0" fillId="3" borderId="14" xfId="0" applyFill="1" applyBorder="1" applyAlignment="1">
      <alignment horizontal="center" vertical="top"/>
    </xf>
    <xf numFmtId="0" fontId="0" fillId="3" borderId="8" xfId="0" applyFill="1" applyBorder="1" applyAlignment="1">
      <alignment horizontal="center" vertical="top"/>
    </xf>
    <xf numFmtId="14" fontId="2" fillId="0" borderId="38" xfId="0" applyNumberFormat="1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71" fontId="4" fillId="3" borderId="15" xfId="0" applyNumberFormat="1" applyFont="1" applyFill="1" applyBorder="1" applyAlignment="1">
      <alignment horizontal="left" vertical="center"/>
    </xf>
    <xf numFmtId="171" fontId="4" fillId="3" borderId="7" xfId="0" applyNumberFormat="1" applyFont="1" applyFill="1" applyBorder="1" applyAlignment="1">
      <alignment horizontal="left" vertical="center"/>
    </xf>
    <xf numFmtId="169" fontId="0" fillId="3" borderId="2" xfId="0" applyNumberFormat="1" applyFill="1" applyBorder="1" applyAlignment="1">
      <alignment horizontal="center" vertical="top"/>
    </xf>
    <xf numFmtId="169" fontId="0" fillId="3" borderId="12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right" vertical="top"/>
    </xf>
    <xf numFmtId="0" fontId="0" fillId="3" borderId="12" xfId="0" applyFill="1" applyBorder="1" applyAlignment="1">
      <alignment horizontal="right" vertical="top"/>
    </xf>
    <xf numFmtId="172" fontId="0" fillId="3" borderId="2" xfId="0" applyNumberFormat="1" applyFill="1" applyBorder="1" applyAlignment="1">
      <alignment horizontal="left" vertical="top"/>
    </xf>
    <xf numFmtId="0" fontId="0" fillId="3" borderId="12" xfId="0" applyFill="1" applyBorder="1" applyAlignment="1">
      <alignment horizontal="left" vertical="top"/>
    </xf>
    <xf numFmtId="0" fontId="0" fillId="3" borderId="1" xfId="0" applyFill="1" applyBorder="1" applyAlignment="1">
      <alignment horizontal="right" vertical="top"/>
    </xf>
    <xf numFmtId="0" fontId="0" fillId="3" borderId="16" xfId="0" applyFill="1" applyBorder="1" applyAlignment="1">
      <alignment horizontal="right" vertical="top"/>
    </xf>
    <xf numFmtId="0" fontId="4" fillId="2" borderId="6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175" fontId="25" fillId="4" borderId="10" xfId="0" applyNumberFormat="1" applyFont="1" applyFill="1" applyBorder="1" applyAlignment="1">
      <alignment horizontal="center" vertical="center"/>
    </xf>
    <xf numFmtId="175" fontId="25" fillId="4" borderId="11" xfId="0" applyNumberFormat="1" applyFont="1" applyFill="1" applyBorder="1" applyAlignment="1">
      <alignment horizontal="center" vertical="center"/>
    </xf>
    <xf numFmtId="169" fontId="25" fillId="0" borderId="2" xfId="0" applyNumberFormat="1" applyFont="1" applyBorder="1" applyAlignment="1">
      <alignment horizontal="center" vertical="top"/>
    </xf>
    <xf numFmtId="169" fontId="25" fillId="0" borderId="12" xfId="0" applyNumberFormat="1" applyFont="1" applyBorder="1" applyAlignment="1">
      <alignment horizontal="center" vertical="top"/>
    </xf>
    <xf numFmtId="0" fontId="25" fillId="0" borderId="2" xfId="0" applyFont="1" applyBorder="1" applyAlignment="1">
      <alignment horizontal="right" vertical="top"/>
    </xf>
    <xf numFmtId="0" fontId="25" fillId="0" borderId="12" xfId="0" applyFont="1" applyBorder="1" applyAlignment="1">
      <alignment horizontal="right" vertical="top"/>
    </xf>
    <xf numFmtId="172" fontId="25" fillId="0" borderId="2" xfId="0" applyNumberFormat="1" applyFont="1" applyBorder="1" applyAlignment="1">
      <alignment horizontal="center" vertical="top"/>
    </xf>
    <xf numFmtId="172" fontId="25" fillId="0" borderId="12" xfId="0" applyNumberFormat="1" applyFont="1" applyBorder="1" applyAlignment="1">
      <alignment horizontal="center" vertical="top"/>
    </xf>
    <xf numFmtId="0" fontId="25" fillId="0" borderId="1" xfId="0" applyFont="1" applyBorder="1" applyAlignment="1">
      <alignment horizontal="right" vertical="top"/>
    </xf>
    <xf numFmtId="0" fontId="25" fillId="0" borderId="16" xfId="0" applyFont="1" applyBorder="1" applyAlignment="1">
      <alignment horizontal="right" vertical="top"/>
    </xf>
    <xf numFmtId="0" fontId="22" fillId="0" borderId="64" xfId="0" applyFont="1" applyBorder="1" applyAlignment="1">
      <alignment horizontal="center"/>
    </xf>
    <xf numFmtId="0" fontId="23" fillId="5" borderId="62" xfId="0" applyFont="1" applyFill="1" applyBorder="1" applyAlignment="1" applyProtection="1">
      <alignment horizontal="center" vertical="center"/>
      <protection locked="0"/>
    </xf>
    <xf numFmtId="0" fontId="23" fillId="5" borderId="63" xfId="0" applyFont="1" applyFill="1" applyBorder="1" applyAlignment="1" applyProtection="1">
      <alignment horizontal="center" vertical="center"/>
      <protection locked="0"/>
    </xf>
    <xf numFmtId="0" fontId="23" fillId="5" borderId="66" xfId="0" applyFont="1" applyFill="1" applyBorder="1" applyAlignment="1" applyProtection="1">
      <alignment horizontal="center" vertical="center"/>
      <protection locked="0"/>
    </xf>
    <xf numFmtId="0" fontId="22" fillId="6" borderId="63" xfId="0" applyFont="1" applyFill="1" applyBorder="1" applyAlignment="1" applyProtection="1">
      <alignment horizontal="center" vertical="center"/>
      <protection locked="0"/>
    </xf>
    <xf numFmtId="1" fontId="23" fillId="6" borderId="66" xfId="0" applyNumberFormat="1" applyFont="1" applyFill="1" applyBorder="1" applyAlignment="1" applyProtection="1">
      <alignment horizontal="center" vertical="center"/>
      <protection locked="0"/>
    </xf>
    <xf numFmtId="0" fontId="23" fillId="0" borderId="67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36" fillId="0" borderId="70" xfId="0" applyFont="1" applyBorder="1" applyAlignment="1">
      <alignment horizontal="left" vertical="center"/>
    </xf>
    <xf numFmtId="181" fontId="35" fillId="0" borderId="59" xfId="0" applyNumberFormat="1" applyFont="1" applyBorder="1" applyAlignment="1">
      <alignment horizontal="right" vertical="center"/>
    </xf>
    <xf numFmtId="178" fontId="36" fillId="0" borderId="59" xfId="0" applyNumberFormat="1" applyFont="1" applyBorder="1" applyAlignment="1">
      <alignment horizontal="center" vertical="center"/>
    </xf>
    <xf numFmtId="0" fontId="37" fillId="0" borderId="69" xfId="0" applyFont="1" applyBorder="1" applyAlignment="1">
      <alignment horizontal="right" vertical="center"/>
    </xf>
    <xf numFmtId="0" fontId="36" fillId="0" borderId="71" xfId="0" applyFont="1" applyBorder="1" applyAlignment="1">
      <alignment horizontal="right" vertical="center"/>
    </xf>
    <xf numFmtId="167" fontId="35" fillId="0" borderId="0" xfId="0" applyNumberFormat="1" applyFont="1" applyBorder="1" applyAlignment="1">
      <alignment horizontal="right" vertical="center"/>
    </xf>
    <xf numFmtId="178" fontId="36" fillId="0" borderId="0" xfId="0" applyNumberFormat="1" applyFont="1" applyBorder="1" applyAlignment="1">
      <alignment horizontal="center" vertical="center"/>
    </xf>
    <xf numFmtId="0" fontId="36" fillId="0" borderId="72" xfId="0" applyFont="1" applyBorder="1" applyAlignment="1">
      <alignment horizontal="center" vertical="center"/>
    </xf>
    <xf numFmtId="0" fontId="23" fillId="0" borderId="61" xfId="0" applyFont="1" applyBorder="1" applyAlignment="1">
      <alignment vertical="center"/>
    </xf>
    <xf numFmtId="0" fontId="23" fillId="0" borderId="65" xfId="0" applyFont="1" applyBorder="1" applyAlignment="1">
      <alignment vertical="center"/>
    </xf>
    <xf numFmtId="0" fontId="23" fillId="0" borderId="62" xfId="0" applyFont="1" applyBorder="1" applyAlignment="1">
      <alignment vertical="center"/>
    </xf>
    <xf numFmtId="0" fontId="22" fillId="0" borderId="67" xfId="0" applyFont="1" applyBorder="1" applyAlignment="1">
      <alignment horizontal="center"/>
    </xf>
    <xf numFmtId="1" fontId="23" fillId="6" borderId="62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71" xfId="0" applyBorder="1" applyAlignment="1">
      <alignment vertical="center"/>
    </xf>
    <xf numFmtId="0" fontId="2" fillId="0" borderId="0" xfId="0" applyFont="1" applyAlignment="1">
      <alignment horizontal="center" vertical="center"/>
    </xf>
    <xf numFmtId="166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73" xfId="0" applyBorder="1"/>
    <xf numFmtId="0" fontId="0" fillId="0" borderId="74" xfId="0" applyBorder="1"/>
    <xf numFmtId="0" fontId="0" fillId="0" borderId="75" xfId="0" applyBorder="1"/>
    <xf numFmtId="0" fontId="0" fillId="0" borderId="76" xfId="0" applyBorder="1"/>
    <xf numFmtId="0" fontId="0" fillId="0" borderId="77" xfId="0" applyBorder="1"/>
    <xf numFmtId="0" fontId="0" fillId="0" borderId="78" xfId="0" applyBorder="1"/>
    <xf numFmtId="0" fontId="0" fillId="0" borderId="77" xfId="0" applyFill="1" applyBorder="1"/>
    <xf numFmtId="0" fontId="0" fillId="0" borderId="78" xfId="0" applyFill="1" applyBorder="1"/>
    <xf numFmtId="0" fontId="0" fillId="0" borderId="79" xfId="0" applyBorder="1"/>
    <xf numFmtId="0" fontId="0" fillId="0" borderId="80" xfId="0" applyBorder="1"/>
    <xf numFmtId="0" fontId="40" fillId="0" borderId="4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F1FA3-219A-AC4A-B8DB-7AD36B823C40}">
  <sheetPr codeName="Tabelle2"/>
  <dimension ref="B1:T108"/>
  <sheetViews>
    <sheetView showGridLines="0" tabSelected="1" zoomScale="125" zoomScaleNormal="125" workbookViewId="0">
      <selection activeCell="F5" sqref="F5"/>
    </sheetView>
  </sheetViews>
  <sheetFormatPr baseColWidth="10" defaultRowHeight="16"/>
  <cols>
    <col min="1" max="1" width="2.5" customWidth="1"/>
    <col min="2" max="2" width="4.83203125" customWidth="1"/>
    <col min="3" max="3" width="11" customWidth="1"/>
    <col min="4" max="7" width="8.83203125" customWidth="1"/>
    <col min="8" max="8" width="2.6640625" customWidth="1"/>
    <col min="9" max="9" width="5.5" customWidth="1"/>
    <col min="10" max="16" width="8.83203125" customWidth="1"/>
    <col min="17" max="17" width="4.83203125" customWidth="1"/>
  </cols>
  <sheetData>
    <row r="1" spans="3:16" ht="9" customHeight="1"/>
    <row r="2" spans="3:16" ht="25" customHeight="1">
      <c r="C2" s="224" t="s">
        <v>23</v>
      </c>
      <c r="D2" s="224"/>
      <c r="E2" s="224"/>
    </row>
    <row r="3" spans="3:16" ht="9" customHeight="1" thickBot="1"/>
    <row r="4" spans="3:16" ht="20" customHeight="1">
      <c r="C4" s="207" t="s">
        <v>35</v>
      </c>
      <c r="D4" s="202">
        <v>2021</v>
      </c>
      <c r="E4" s="227"/>
      <c r="F4" s="225" t="s">
        <v>49</v>
      </c>
      <c r="G4" s="226"/>
      <c r="H4" s="226"/>
      <c r="L4" s="42"/>
      <c r="M4" s="43"/>
      <c r="N4" s="49"/>
    </row>
    <row r="5" spans="3:16" ht="20" customHeight="1">
      <c r="C5" s="208" t="s">
        <v>36</v>
      </c>
      <c r="D5" s="203">
        <v>2</v>
      </c>
      <c r="E5" s="227"/>
      <c r="F5" s="228" t="s">
        <v>48</v>
      </c>
      <c r="G5" s="226"/>
      <c r="H5" s="226"/>
      <c r="I5" s="2"/>
      <c r="L5" s="43"/>
      <c r="M5" s="43"/>
      <c r="N5" s="42"/>
    </row>
    <row r="6" spans="3:16" ht="20" customHeight="1" thickBot="1">
      <c r="C6" s="209" t="s">
        <v>37</v>
      </c>
      <c r="D6" s="204">
        <v>13</v>
      </c>
      <c r="E6" s="227"/>
      <c r="F6" s="226"/>
      <c r="G6" s="226"/>
      <c r="H6" s="226"/>
      <c r="I6" s="2"/>
      <c r="L6" s="43"/>
      <c r="M6" s="43"/>
      <c r="N6" s="42"/>
    </row>
    <row r="7" spans="3:16" ht="9" customHeight="1" thickBot="1">
      <c r="I7" s="125"/>
      <c r="L7" s="43"/>
      <c r="M7" s="43"/>
      <c r="N7" s="42"/>
    </row>
    <row r="8" spans="3:16" ht="20" customHeight="1">
      <c r="C8" s="222" t="s">
        <v>43</v>
      </c>
      <c r="D8" s="223">
        <v>11</v>
      </c>
      <c r="E8" s="219"/>
      <c r="F8" s="220" t="s">
        <v>47</v>
      </c>
      <c r="G8" s="220"/>
      <c r="H8" s="221"/>
      <c r="I8" s="125"/>
      <c r="J8" s="47"/>
      <c r="K8" s="43"/>
      <c r="L8" s="43"/>
      <c r="M8" s="43"/>
      <c r="N8" s="42"/>
    </row>
    <row r="9" spans="3:16" ht="20" customHeight="1">
      <c r="C9" s="201" t="s">
        <v>44</v>
      </c>
      <c r="D9" s="205">
        <v>59</v>
      </c>
      <c r="E9" s="215" t="s">
        <v>24</v>
      </c>
      <c r="F9" s="216">
        <f>M24</f>
        <v>356</v>
      </c>
      <c r="G9" s="217">
        <f>N24</f>
        <v>12.439606215982622</v>
      </c>
      <c r="H9" s="218"/>
      <c r="I9" s="125"/>
      <c r="J9" s="48"/>
      <c r="K9" s="43"/>
      <c r="L9" s="43"/>
      <c r="M9" s="43"/>
      <c r="N9" s="42"/>
    </row>
    <row r="10" spans="3:16" ht="20" customHeight="1" thickBot="1">
      <c r="C10" s="210" t="s">
        <v>45</v>
      </c>
      <c r="D10" s="206">
        <v>0</v>
      </c>
      <c r="E10" s="214" t="s">
        <v>46</v>
      </c>
      <c r="F10" s="212">
        <f>M25</f>
        <v>13</v>
      </c>
      <c r="G10" s="213">
        <f>N25</f>
        <v>11.019601538530459</v>
      </c>
      <c r="H10" s="211" t="str">
        <f>IF(L25&lt;0,"S","N")</f>
        <v>S</v>
      </c>
      <c r="I10" s="43"/>
      <c r="K10" s="43"/>
      <c r="L10" s="43"/>
      <c r="M10" s="43"/>
    </row>
    <row r="11" spans="3:16" ht="16" customHeight="1" thickBot="1">
      <c r="C11" s="9"/>
      <c r="D11" s="9"/>
      <c r="E11" s="26"/>
      <c r="F11" s="9"/>
      <c r="G11" s="9"/>
      <c r="I11" s="29" t="s">
        <v>14</v>
      </c>
      <c r="J11" s="29"/>
      <c r="K11" s="29"/>
      <c r="L11" s="29"/>
      <c r="M11" s="29"/>
      <c r="N11" s="29"/>
      <c r="O11" s="29"/>
      <c r="P11" s="29"/>
    </row>
    <row r="12" spans="3:16">
      <c r="C12" s="45">
        <f>_xlfn.DAYS(E12,DATE(D4,1,1))</f>
        <v>43</v>
      </c>
      <c r="D12" s="11" t="s">
        <v>12</v>
      </c>
      <c r="E12" s="168">
        <f>DATE(D4,D5,D6)</f>
        <v>44240</v>
      </c>
      <c r="F12" s="168"/>
      <c r="G12" s="168"/>
      <c r="H12" s="169"/>
      <c r="I12" s="29"/>
      <c r="J12" s="29"/>
      <c r="K12" s="29"/>
      <c r="L12" s="29"/>
      <c r="M12" s="29"/>
      <c r="N12" s="29"/>
      <c r="O12" s="29"/>
      <c r="P12" s="29"/>
    </row>
    <row r="13" spans="3:16">
      <c r="C13" s="187" t="s">
        <v>8</v>
      </c>
      <c r="D13" s="175" t="s">
        <v>7</v>
      </c>
      <c r="E13" s="175"/>
      <c r="F13" s="176" t="s">
        <v>13</v>
      </c>
      <c r="G13" s="175"/>
      <c r="H13" s="44"/>
      <c r="I13" s="29"/>
      <c r="J13" s="29"/>
      <c r="K13" s="29"/>
      <c r="L13" s="29"/>
      <c r="M13" s="29"/>
      <c r="N13" s="29"/>
      <c r="O13" s="29"/>
      <c r="P13" s="29"/>
    </row>
    <row r="14" spans="3:16" ht="17" thickBot="1">
      <c r="C14" s="187"/>
      <c r="D14" s="13" t="s">
        <v>9</v>
      </c>
      <c r="E14" s="8" t="s">
        <v>10</v>
      </c>
      <c r="F14" s="12" t="s">
        <v>9</v>
      </c>
      <c r="G14" s="8" t="s">
        <v>10</v>
      </c>
      <c r="H14" s="44"/>
      <c r="I14" s="29"/>
      <c r="N14" s="30"/>
      <c r="O14" s="30"/>
      <c r="P14" s="30"/>
    </row>
    <row r="15" spans="3:16" ht="17" hidden="1" thickBot="1">
      <c r="C15" s="46" t="s">
        <v>25</v>
      </c>
      <c r="D15" s="13" t="s">
        <v>26</v>
      </c>
      <c r="E15" s="28" t="s">
        <v>27</v>
      </c>
      <c r="F15" s="12" t="s">
        <v>28</v>
      </c>
      <c r="G15" s="28" t="s">
        <v>29</v>
      </c>
      <c r="H15" s="57" t="s">
        <v>34</v>
      </c>
      <c r="I15" s="18"/>
      <c r="N15" s="37"/>
      <c r="O15" s="34"/>
      <c r="P15" s="37"/>
    </row>
    <row r="16" spans="3:16">
      <c r="C16" s="14">
        <v>0</v>
      </c>
      <c r="D16" s="22">
        <f>INT(P51)</f>
        <v>176</v>
      </c>
      <c r="E16" s="24">
        <f>(P51-D16)*60</f>
        <v>27.242584159332637</v>
      </c>
      <c r="F16" s="22">
        <f>ABS(ROUNDDOWN(S51,0))</f>
        <v>13</v>
      </c>
      <c r="G16" s="143">
        <f>(ABS(S51)-F16)*60</f>
        <v>21.126888595189435</v>
      </c>
      <c r="H16" s="15" t="str">
        <f>IF(S51&lt;0,"S","N")</f>
        <v>S</v>
      </c>
      <c r="I16" s="18"/>
      <c r="K16" s="50" t="s">
        <v>7</v>
      </c>
      <c r="L16" s="159">
        <f>DGET(C15:H44,"grt°",K21:K22)+DGET(C15:H44,"grt'",K21:K22)/60</f>
        <v>341.45702823402468</v>
      </c>
      <c r="M16" s="150" t="s">
        <v>13</v>
      </c>
      <c r="N16" s="163">
        <f>(DGET(C15:H44,"d°",K21:K22)+DGET(C15:H44,"d'",K21:K22)/60)*IF(DGET(C15:H44,"VZ",K21:K22)="N",1,-1)</f>
        <v>-13.197516999338736</v>
      </c>
      <c r="O16" s="34"/>
      <c r="P16" s="37"/>
    </row>
    <row r="17" spans="3:16">
      <c r="C17" s="14">
        <f>1+C16</f>
        <v>1</v>
      </c>
      <c r="D17" s="22">
        <f>INT(P52)</f>
        <v>191</v>
      </c>
      <c r="E17" s="24">
        <f>(P52-D17)*60</f>
        <v>27.257252422346028</v>
      </c>
      <c r="F17" s="22">
        <f>ABS(ROUNDDOWN(S52,0))</f>
        <v>13</v>
      </c>
      <c r="G17" s="143">
        <f>(ABS(S52)-F17)*60</f>
        <v>20.285511581335705</v>
      </c>
      <c r="H17" s="15" t="str">
        <f>IF(S52&lt;0,"S","N")</f>
        <v>S</v>
      </c>
      <c r="I17" s="18"/>
      <c r="K17" s="151" t="s">
        <v>31</v>
      </c>
      <c r="L17" s="160">
        <f>DGET(C15:H44,"grt°",L21:L22)+DGET(C15:H44,"grt'",L21:L22)/60</f>
        <v>356.45733183020269</v>
      </c>
      <c r="M17" s="152" t="s">
        <v>42</v>
      </c>
      <c r="N17" s="161">
        <f>(DGET(C15:H44,"d°",L21:L22)+DGET(C15:H44,"d'",L21:L22)/60)*IF(DGET(C15:H44,"VZ",L21:L22)="N",1,-1)</f>
        <v>-13.183425161681216</v>
      </c>
      <c r="O17" s="34"/>
      <c r="P17" s="37"/>
    </row>
    <row r="18" spans="3:16">
      <c r="C18" s="14">
        <f t="shared" ref="C18:C20" si="0">1+C17</f>
        <v>2</v>
      </c>
      <c r="D18" s="22">
        <f>INT(P53)</f>
        <v>206</v>
      </c>
      <c r="E18" s="24">
        <f>(P53-D18)*60</f>
        <v>27.272244157274486</v>
      </c>
      <c r="F18" s="22">
        <f>ABS(ROUNDDOWN(S53,0))</f>
        <v>13</v>
      </c>
      <c r="G18" s="143">
        <f>(ABS(S53)-F18)*60</f>
        <v>19.443756306162854</v>
      </c>
      <c r="H18" s="15" t="str">
        <f>IF(S53&lt;0,"S","N")</f>
        <v>S</v>
      </c>
      <c r="I18" s="18"/>
      <c r="K18" s="153" t="s">
        <v>32</v>
      </c>
      <c r="L18" s="161">
        <f>L17-L16</f>
        <v>15.000303596178014</v>
      </c>
      <c r="M18" s="153" t="s">
        <v>32</v>
      </c>
      <c r="N18" s="161">
        <f>N17-N16</f>
        <v>1.4091837657520756E-2</v>
      </c>
      <c r="O18" s="34"/>
      <c r="P18" s="37"/>
    </row>
    <row r="19" spans="3:16">
      <c r="C19" s="14">
        <f t="shared" si="0"/>
        <v>3</v>
      </c>
      <c r="D19" s="22">
        <f>INT(P54)</f>
        <v>221</v>
      </c>
      <c r="E19" s="24">
        <f>(P54-D19)*60</f>
        <v>27.287559171393241</v>
      </c>
      <c r="F19" s="22">
        <f>ABS(ROUNDDOWN(S54,0))</f>
        <v>13</v>
      </c>
      <c r="G19" s="143">
        <f>(ABS(S54)-F19)*60</f>
        <v>18.601623272069645</v>
      </c>
      <c r="H19" s="15" t="str">
        <f>IF(S54&lt;0,"S","N")</f>
        <v>S</v>
      </c>
      <c r="I19" s="18"/>
      <c r="K19" s="153" t="s">
        <v>33</v>
      </c>
      <c r="L19" s="161">
        <f>IF(L18&lt;0,L18+360,IF(L18&gt;360,L18-360,L18))</f>
        <v>15.000303596178014</v>
      </c>
      <c r="M19" s="153"/>
      <c r="N19" s="161"/>
      <c r="O19" s="34"/>
      <c r="P19" s="37"/>
    </row>
    <row r="20" spans="3:16" ht="17" thickBot="1">
      <c r="C20" s="14">
        <f t="shared" si="0"/>
        <v>4</v>
      </c>
      <c r="D20" s="22">
        <f>INT(P55)</f>
        <v>236</v>
      </c>
      <c r="E20" s="24">
        <f>(P55-D20)*60</f>
        <v>27.303197271500039</v>
      </c>
      <c r="F20" s="22">
        <f>ABS(ROUNDDOWN(S55,0))</f>
        <v>13</v>
      </c>
      <c r="G20" s="143">
        <f>(ABS(S55)-F20)*60</f>
        <v>17.759112981484257</v>
      </c>
      <c r="H20" s="15" t="str">
        <f>IF(S55&lt;0,"S","N")</f>
        <v>S</v>
      </c>
      <c r="I20" s="35"/>
      <c r="K20" s="147" t="s">
        <v>30</v>
      </c>
      <c r="L20" s="162">
        <f>(D9+D10/60)*L19/60</f>
        <v>14.750298536241713</v>
      </c>
      <c r="M20" s="147" t="s">
        <v>30</v>
      </c>
      <c r="N20" s="162">
        <f>(D9+D10)*N18/60</f>
        <v>1.3856973696562077E-2</v>
      </c>
      <c r="O20" s="34"/>
      <c r="P20" s="37"/>
    </row>
    <row r="21" spans="3:16">
      <c r="C21" s="16"/>
      <c r="D21" s="22"/>
      <c r="E21" s="25"/>
      <c r="F21" s="23"/>
      <c r="G21" s="144"/>
      <c r="H21" s="15"/>
      <c r="I21" s="18"/>
      <c r="K21" s="50" t="s">
        <v>25</v>
      </c>
      <c r="L21" s="51" t="s">
        <v>25</v>
      </c>
      <c r="M21" s="50"/>
      <c r="N21" s="51"/>
      <c r="O21" s="34"/>
      <c r="P21" s="37"/>
    </row>
    <row r="22" spans="3:16" ht="17" thickBot="1">
      <c r="C22" s="14">
        <f>1+C20</f>
        <v>5</v>
      </c>
      <c r="D22" s="22">
        <f>INT(P56)</f>
        <v>251</v>
      </c>
      <c r="E22" s="24">
        <f>(P56-D22)*60</f>
        <v>27.319158263855456</v>
      </c>
      <c r="F22" s="22">
        <f>ABS(ROUNDDOWN(S56,0))</f>
        <v>13</v>
      </c>
      <c r="G22" s="143">
        <f>(ABS(S56)-F22)*60</f>
        <v>16.916225936694929</v>
      </c>
      <c r="H22" s="15" t="str">
        <f>IF(S56&lt;0,"S","N")</f>
        <v>S</v>
      </c>
      <c r="I22" s="18"/>
      <c r="K22" s="54">
        <f>D8</f>
        <v>11</v>
      </c>
      <c r="L22" s="53">
        <f>D8+1</f>
        <v>12</v>
      </c>
      <c r="M22" s="52"/>
      <c r="N22" s="53"/>
      <c r="O22" s="37"/>
      <c r="P22" s="37"/>
    </row>
    <row r="23" spans="3:16" ht="17" thickBot="1">
      <c r="C23" s="14">
        <f>1+C22</f>
        <v>6</v>
      </c>
      <c r="D23" s="22">
        <f>INT(P57)</f>
        <v>266</v>
      </c>
      <c r="E23" s="24">
        <f>(P57-D23)*60</f>
        <v>27.335441954176076</v>
      </c>
      <c r="F23" s="22">
        <f>ABS(ROUNDDOWN(S57,0))</f>
        <v>13</v>
      </c>
      <c r="G23" s="143">
        <f>(ABS(S57)-F23)*60</f>
        <v>16.072962640072177</v>
      </c>
      <c r="H23" s="15" t="str">
        <f>IF(S57&lt;0,"S","N")</f>
        <v>S</v>
      </c>
      <c r="I23" s="18"/>
      <c r="K23" s="154"/>
      <c r="L23" s="154"/>
      <c r="M23" s="148"/>
      <c r="N23" s="149"/>
      <c r="O23" s="34"/>
      <c r="P23" s="37"/>
    </row>
    <row r="24" spans="3:16">
      <c r="C24" s="14">
        <f>1+C23</f>
        <v>7</v>
      </c>
      <c r="D24" s="22">
        <f>INT(P58)</f>
        <v>281</v>
      </c>
      <c r="E24" s="24">
        <f>(P58-D24)*60</f>
        <v>27.3520481477658</v>
      </c>
      <c r="F24" s="22">
        <f>ABS(ROUNDDOWN(S58,0))</f>
        <v>13</v>
      </c>
      <c r="G24" s="143">
        <f t="shared" ref="G24:G25" si="1">(ABS(S58)-F24)*60</f>
        <v>15.229323593996114</v>
      </c>
      <c r="H24" s="15" t="str">
        <f>IF(S58&lt;0,"S","N")</f>
        <v>S</v>
      </c>
      <c r="I24" s="18"/>
      <c r="K24" s="156" t="s">
        <v>7</v>
      </c>
      <c r="L24" s="157">
        <f>L16+L20</f>
        <v>356.20732677026638</v>
      </c>
      <c r="M24" s="166">
        <f>ABS(ROUNDDOWN(L24,0))</f>
        <v>356</v>
      </c>
      <c r="N24" s="164">
        <f>(ABS(L24)-M24)*60</f>
        <v>12.439606215982622</v>
      </c>
      <c r="O24" s="34"/>
      <c r="P24" s="37"/>
    </row>
    <row r="25" spans="3:16" ht="17" thickBot="1">
      <c r="C25" s="14">
        <f>1+C24</f>
        <v>8</v>
      </c>
      <c r="D25" s="22">
        <f>INT(P59)</f>
        <v>296</v>
      </c>
      <c r="E25" s="24">
        <f>(P59-D25)*60</f>
        <v>27.368976649277101</v>
      </c>
      <c r="F25" s="22">
        <f>ABS(ROUNDDOWN(S59,0))</f>
        <v>13</v>
      </c>
      <c r="G25" s="143">
        <f t="shared" si="1"/>
        <v>14.385309300669498</v>
      </c>
      <c r="H25" s="15" t="str">
        <f>IF(S59&lt;0,"S","N")</f>
        <v>S</v>
      </c>
      <c r="I25" s="18"/>
      <c r="K25" s="155" t="s">
        <v>13</v>
      </c>
      <c r="L25" s="158">
        <f>N16+N20</f>
        <v>-13.183660025642174</v>
      </c>
      <c r="M25" s="167">
        <f>ABS(ROUNDDOWN(L25,0))</f>
        <v>13</v>
      </c>
      <c r="N25" s="165">
        <f>(ABS(L25)-M25)*60</f>
        <v>11.019601538530459</v>
      </c>
      <c r="O25" s="34"/>
      <c r="P25" s="37"/>
    </row>
    <row r="26" spans="3:16">
      <c r="C26" s="14">
        <f>1+C25</f>
        <v>9</v>
      </c>
      <c r="D26" s="22">
        <f>INT(P60)</f>
        <v>311</v>
      </c>
      <c r="E26" s="24">
        <f>(P60-D26)*60</f>
        <v>27.386227262992406</v>
      </c>
      <c r="F26" s="22">
        <f>ABS(ROUNDDOWN(S60,0))</f>
        <v>13</v>
      </c>
      <c r="G26" s="143">
        <f>(ABS(S60)-F26)*60</f>
        <v>13.540920262432579</v>
      </c>
      <c r="H26" s="15" t="str">
        <f>IF(S60&lt;0,"S","N")</f>
        <v>S</v>
      </c>
      <c r="I26" s="35"/>
      <c r="J26" s="36"/>
      <c r="K26" s="55"/>
      <c r="L26" s="55"/>
      <c r="M26" s="56"/>
      <c r="N26" s="37"/>
      <c r="O26" s="34"/>
      <c r="P26" s="37"/>
    </row>
    <row r="27" spans="3:16">
      <c r="C27" s="16"/>
      <c r="D27" s="22"/>
      <c r="E27" s="25"/>
      <c r="F27" s="23"/>
      <c r="G27" s="144"/>
      <c r="H27" s="15"/>
      <c r="I27" s="18"/>
      <c r="J27" s="19"/>
      <c r="K27" s="55"/>
      <c r="L27" s="55"/>
      <c r="M27" s="56"/>
      <c r="N27" s="37"/>
      <c r="O27" s="34"/>
      <c r="P27" s="37"/>
    </row>
    <row r="28" spans="3:16">
      <c r="C28" s="14">
        <f>1+C26</f>
        <v>10</v>
      </c>
      <c r="D28" s="22">
        <f>INT(P61)</f>
        <v>326</v>
      </c>
      <c r="E28" s="24">
        <f>(P61-D28)*60</f>
        <v>27.403799792655263</v>
      </c>
      <c r="F28" s="22">
        <f>ABS(ROUNDDOWN(S61,0))</f>
        <v>13</v>
      </c>
      <c r="G28" s="143">
        <f>(ABS(S61)-F28)*60</f>
        <v>12.696156981557927</v>
      </c>
      <c r="H28" s="15" t="str">
        <f>IF(S61&lt;0,"S","N")</f>
        <v>S</v>
      </c>
      <c r="I28" s="18"/>
      <c r="J28" s="19"/>
      <c r="K28" s="31"/>
      <c r="L28" s="32"/>
      <c r="M28" s="33"/>
      <c r="N28" s="37"/>
      <c r="O28" s="34"/>
      <c r="P28" s="37"/>
    </row>
    <row r="29" spans="3:16">
      <c r="C29" s="14">
        <f>1+C28</f>
        <v>11</v>
      </c>
      <c r="D29" s="22">
        <f>INT(P62)</f>
        <v>341</v>
      </c>
      <c r="E29" s="24">
        <f>(P62-D29)*60</f>
        <v>27.421694041480578</v>
      </c>
      <c r="F29" s="22">
        <f>ABS(ROUNDDOWN(S62,0))</f>
        <v>13</v>
      </c>
      <c r="G29" s="143">
        <f>(ABS(S62)-F29)*60</f>
        <v>11.851019960324187</v>
      </c>
      <c r="H29" s="15" t="str">
        <f>IF(S62&lt;0,"S","N")</f>
        <v>S</v>
      </c>
      <c r="I29" s="18"/>
      <c r="J29" s="19"/>
      <c r="K29" s="31"/>
      <c r="L29" s="32"/>
      <c r="M29" s="33"/>
      <c r="N29" s="37"/>
      <c r="O29" s="34"/>
      <c r="P29" s="37"/>
    </row>
    <row r="30" spans="3:16">
      <c r="C30" s="14">
        <f>1+C29</f>
        <v>12</v>
      </c>
      <c r="D30" s="22">
        <f>INT(P63)</f>
        <v>356</v>
      </c>
      <c r="E30" s="24">
        <f>(P63-D30)*60</f>
        <v>27.439909812161432</v>
      </c>
      <c r="F30" s="22">
        <f>ABS(ROUNDDOWN(S63,0))</f>
        <v>13</v>
      </c>
      <c r="G30" s="143">
        <f>(ABS(S63)-F30)*60</f>
        <v>11.005509700872942</v>
      </c>
      <c r="H30" s="15" t="str">
        <f>IF(S63&lt;0,"S","N")</f>
        <v>S</v>
      </c>
      <c r="I30" s="18"/>
      <c r="J30" s="19"/>
      <c r="K30" s="31"/>
      <c r="L30" s="32"/>
      <c r="M30" s="33"/>
      <c r="N30" s="37"/>
      <c r="O30" s="34"/>
      <c r="P30" s="37"/>
    </row>
    <row r="31" spans="3:16">
      <c r="C31" s="14">
        <f>1+C30</f>
        <v>13</v>
      </c>
      <c r="D31" s="22">
        <f>INT(P64)</f>
        <v>11</v>
      </c>
      <c r="E31" s="24">
        <f>(P64-D31)*60</f>
        <v>27.458446906967993</v>
      </c>
      <c r="F31" s="22">
        <f>ABS(ROUNDDOWN(S64,0))</f>
        <v>13</v>
      </c>
      <c r="G31" s="143">
        <f>(ABS(S64)-F31)*60</f>
        <v>10.159626705459708</v>
      </c>
      <c r="H31" s="15" t="str">
        <f>IF(S64&lt;0,"S","N")</f>
        <v>S</v>
      </c>
      <c r="I31" s="18"/>
      <c r="J31" s="19"/>
      <c r="K31" s="31"/>
      <c r="L31" s="32"/>
      <c r="M31" s="33"/>
      <c r="N31" s="37"/>
      <c r="O31" s="34"/>
      <c r="P31" s="37"/>
    </row>
    <row r="32" spans="3:16">
      <c r="C32" s="14">
        <f>1+C31</f>
        <v>14</v>
      </c>
      <c r="D32" s="22">
        <f>INT(P65)</f>
        <v>26</v>
      </c>
      <c r="E32" s="24">
        <f>(P65-D32)*60</f>
        <v>27.477305127568883</v>
      </c>
      <c r="F32" s="22">
        <f>ABS(ROUNDDOWN(S65,0))</f>
        <v>13</v>
      </c>
      <c r="G32" s="143">
        <f>(ABS(S65)-F32)*60</f>
        <v>9.3133714762898023</v>
      </c>
      <c r="H32" s="15" t="str">
        <f>IF(S65&lt;0,"S","N")</f>
        <v>S</v>
      </c>
      <c r="I32" s="35"/>
      <c r="J32" s="36"/>
      <c r="K32" s="31"/>
      <c r="L32" s="32"/>
      <c r="M32" s="33"/>
      <c r="N32" s="37"/>
      <c r="O32" s="34"/>
      <c r="P32" s="37"/>
    </row>
    <row r="33" spans="2:20">
      <c r="C33" s="16"/>
      <c r="D33" s="22"/>
      <c r="E33" s="25"/>
      <c r="F33" s="23"/>
      <c r="G33" s="144"/>
      <c r="H33" s="15"/>
      <c r="I33" s="18"/>
      <c r="J33" s="229"/>
      <c r="K33" s="31"/>
      <c r="L33" s="32"/>
      <c r="M33" s="33"/>
      <c r="N33" s="37"/>
      <c r="O33" s="34"/>
      <c r="P33" s="37"/>
    </row>
    <row r="34" spans="2:20">
      <c r="C34" s="14">
        <f>1+C32</f>
        <v>15</v>
      </c>
      <c r="D34" s="22">
        <f>INT(P66)</f>
        <v>41</v>
      </c>
      <c r="E34" s="24">
        <f>(P66-D34)*60</f>
        <v>27.496484275286122</v>
      </c>
      <c r="F34" s="22">
        <f>ABS(ROUNDDOWN(S66,0))</f>
        <v>13</v>
      </c>
      <c r="G34" s="143">
        <f>(ABS(S66)-F34)*60</f>
        <v>8.4667445154840237</v>
      </c>
      <c r="H34" s="15" t="str">
        <f>IF(S66&lt;0,"S","N")</f>
        <v>S</v>
      </c>
      <c r="I34" s="18"/>
      <c r="J34" s="19"/>
      <c r="K34" s="31"/>
      <c r="L34" s="32"/>
      <c r="M34" s="33"/>
      <c r="N34" s="37"/>
      <c r="O34" s="34"/>
      <c r="P34" s="37"/>
    </row>
    <row r="35" spans="2:20">
      <c r="C35" s="14">
        <f>1+C34</f>
        <v>16</v>
      </c>
      <c r="D35" s="22">
        <f>INT(P67)</f>
        <v>56</v>
      </c>
      <c r="E35" s="24">
        <f>(P67-D35)*60</f>
        <v>27.515984150741701</v>
      </c>
      <c r="F35" s="22">
        <f>ABS(ROUNDDOWN(S67,0))</f>
        <v>13</v>
      </c>
      <c r="G35" s="143">
        <f>(ABS(S67)-F35)*60</f>
        <v>7.6197463251861919</v>
      </c>
      <c r="H35" s="15" t="str">
        <f>IF(S67&lt;0,"S","N")</f>
        <v>S</v>
      </c>
      <c r="I35" s="18"/>
      <c r="J35" s="19"/>
      <c r="K35" s="31"/>
      <c r="L35" s="32"/>
      <c r="M35" s="33"/>
      <c r="N35" s="37"/>
      <c r="O35" s="34"/>
      <c r="P35" s="37"/>
    </row>
    <row r="36" spans="2:20">
      <c r="C36" s="14">
        <f>1+C35</f>
        <v>17</v>
      </c>
      <c r="D36" s="22">
        <f>INT(P68)</f>
        <v>71</v>
      </c>
      <c r="E36" s="24">
        <f>(P68-D36)*60</f>
        <v>27.535804554248955</v>
      </c>
      <c r="F36" s="22">
        <f>ABS(ROUNDDOWN(S68,0))</f>
        <v>13</v>
      </c>
      <c r="G36" s="143">
        <f>(ABS(S68)-F36)*60</f>
        <v>6.7723774075802012</v>
      </c>
      <c r="H36" s="15" t="str">
        <f>IF(S68&lt;0,"S","N")</f>
        <v>S</v>
      </c>
      <c r="I36" s="18"/>
      <c r="J36" s="20"/>
      <c r="K36" s="31"/>
      <c r="L36" s="32"/>
      <c r="M36" s="33"/>
      <c r="N36" s="37"/>
      <c r="O36" s="34"/>
      <c r="P36" s="37"/>
    </row>
    <row r="37" spans="2:20">
      <c r="C37" s="14">
        <f>1+C36</f>
        <v>18</v>
      </c>
      <c r="D37" s="22">
        <f>INT(P69)</f>
        <v>86</v>
      </c>
      <c r="E37" s="24">
        <f>(P69-D37)*60</f>
        <v>27.555945285493237</v>
      </c>
      <c r="F37" s="22">
        <f>ABS(ROUNDDOWN(S69,0))</f>
        <v>13</v>
      </c>
      <c r="G37" s="143">
        <f>(ABS(S69)-F37)*60</f>
        <v>5.9246382646722751</v>
      </c>
      <c r="H37" s="15" t="str">
        <f>IF(S69&lt;0,"S","N")</f>
        <v>S</v>
      </c>
      <c r="I37" s="18"/>
      <c r="J37" s="20"/>
      <c r="K37" s="31"/>
      <c r="L37" s="32"/>
      <c r="M37" s="33"/>
      <c r="N37" s="37"/>
      <c r="O37" s="34"/>
      <c r="P37" s="37"/>
    </row>
    <row r="38" spans="2:20">
      <c r="C38" s="14">
        <f>1+C37</f>
        <v>19</v>
      </c>
      <c r="D38" s="22">
        <f>INT(P70)</f>
        <v>101</v>
      </c>
      <c r="E38" s="24">
        <f>(P70-D38)*60</f>
        <v>27.576406143739121</v>
      </c>
      <c r="F38" s="22">
        <f>ABS(ROUNDDOWN(S70,0))</f>
        <v>13</v>
      </c>
      <c r="G38" s="143">
        <f>(ABS(S70)-F38)*60</f>
        <v>5.0765293985839577</v>
      </c>
      <c r="H38" s="15" t="str">
        <f>IF(S70&lt;0,"S","N")</f>
        <v>S</v>
      </c>
      <c r="I38" s="35"/>
      <c r="J38" s="36"/>
      <c r="K38" s="31"/>
      <c r="L38" s="32"/>
      <c r="M38" s="33"/>
      <c r="N38" s="37"/>
      <c r="O38" s="34"/>
      <c r="P38" s="37"/>
    </row>
    <row r="39" spans="2:20">
      <c r="C39" s="16"/>
      <c r="D39" s="22"/>
      <c r="E39" s="25"/>
      <c r="F39" s="23"/>
      <c r="G39" s="144"/>
      <c r="H39" s="15"/>
      <c r="I39" s="18"/>
      <c r="J39" s="20"/>
      <c r="K39" s="31"/>
      <c r="L39" s="32"/>
      <c r="M39" s="33"/>
      <c r="N39" s="37"/>
      <c r="O39" s="34"/>
      <c r="P39" s="37"/>
    </row>
    <row r="40" spans="2:20">
      <c r="C40" s="14">
        <f>1+C38</f>
        <v>20</v>
      </c>
      <c r="D40" s="22">
        <f>INT(P71)</f>
        <v>116</v>
      </c>
      <c r="E40" s="24">
        <f>(P71-D40)*60</f>
        <v>27.597186927770281</v>
      </c>
      <c r="F40" s="22">
        <f>ABS(ROUNDDOWN(S71,0))</f>
        <v>13</v>
      </c>
      <c r="G40" s="143">
        <f>(ABS(S71)-F40)*60</f>
        <v>4.2280513114184615</v>
      </c>
      <c r="H40" s="15" t="str">
        <f>IF(S71&lt;0,"S","N")</f>
        <v>S</v>
      </c>
      <c r="I40" s="18"/>
      <c r="J40" s="20"/>
      <c r="K40" s="31"/>
      <c r="L40" s="32"/>
      <c r="M40" s="33"/>
      <c r="N40" s="37"/>
      <c r="O40" s="34"/>
      <c r="P40" s="37"/>
    </row>
    <row r="41" spans="2:20">
      <c r="C41" s="14">
        <f>1+C40</f>
        <v>21</v>
      </c>
      <c r="D41" s="22">
        <f>INT(P72)</f>
        <v>131</v>
      </c>
      <c r="E41" s="24">
        <f>(P72-D41)*60</f>
        <v>27.61828743570959</v>
      </c>
      <c r="F41" s="22">
        <f>ABS(ROUNDDOWN(S72,0))</f>
        <v>13</v>
      </c>
      <c r="G41" s="143">
        <f>(ABS(S72)-F41)*60</f>
        <v>3.3792045050844877</v>
      </c>
      <c r="H41" s="15" t="str">
        <f>IF(S72&lt;0,"S","N")</f>
        <v>S</v>
      </c>
      <c r="I41" s="18"/>
      <c r="J41" s="20"/>
      <c r="K41" s="31"/>
      <c r="L41" s="32"/>
      <c r="M41" s="33"/>
      <c r="N41" s="37"/>
      <c r="O41" s="34"/>
      <c r="P41" s="37"/>
    </row>
    <row r="42" spans="2:20">
      <c r="C42" s="14">
        <f>1+C41</f>
        <v>22</v>
      </c>
      <c r="D42" s="22">
        <f>INT(P73)</f>
        <v>146</v>
      </c>
      <c r="E42" s="24">
        <f>(P73-D42)*60</f>
        <v>27.639707465457377</v>
      </c>
      <c r="F42" s="22">
        <f>ABS(ROUNDDOWN(S73,0))</f>
        <v>13</v>
      </c>
      <c r="G42" s="143">
        <f>(ABS(S73)-F42)*60</f>
        <v>2.5299894816748036</v>
      </c>
      <c r="H42" s="15" t="str">
        <f>IF(S73&lt;0,"S","N")</f>
        <v>S</v>
      </c>
      <c r="I42" s="18"/>
      <c r="J42" s="20"/>
      <c r="K42" s="31"/>
      <c r="L42" s="32"/>
      <c r="M42" s="33"/>
      <c r="N42" s="37"/>
      <c r="O42" s="34"/>
      <c r="P42" s="37"/>
    </row>
    <row r="43" spans="2:20">
      <c r="C43" s="14">
        <f>1+C42</f>
        <v>23</v>
      </c>
      <c r="D43" s="22">
        <f>INT(P74)</f>
        <v>161</v>
      </c>
      <c r="E43" s="24">
        <f>(P74-D43)*60</f>
        <v>27.661446814184956</v>
      </c>
      <c r="F43" s="22">
        <f>ABS(ROUNDDOWN(S74,0))</f>
        <v>13</v>
      </c>
      <c r="G43" s="143">
        <f>(ABS(S74)-F43)*60</f>
        <v>1.6804067431745295</v>
      </c>
      <c r="H43" s="15" t="str">
        <f>IF(S74&lt;0,"S","N")</f>
        <v>S</v>
      </c>
      <c r="I43" s="18"/>
      <c r="J43" s="20"/>
      <c r="K43" s="31"/>
      <c r="L43" s="32"/>
      <c r="M43" s="33"/>
      <c r="N43" s="37"/>
      <c r="O43" s="34"/>
      <c r="P43" s="37"/>
    </row>
    <row r="44" spans="2:20" hidden="1">
      <c r="C44" s="14">
        <f>1+C43</f>
        <v>24</v>
      </c>
      <c r="D44" s="22">
        <f>INT(P75)</f>
        <v>176</v>
      </c>
      <c r="E44" s="24">
        <f>(P75-D44)*60</f>
        <v>27.683505278666303</v>
      </c>
      <c r="F44" s="22">
        <f>ABS(ROUNDDOWN(S75,0))</f>
        <v>13</v>
      </c>
      <c r="G44" s="21">
        <f>(ABS(S75)-F44)*60</f>
        <v>0.83045679146433571</v>
      </c>
      <c r="H44" s="17" t="str">
        <f>IF(S75&lt;0,"S","N")</f>
        <v>S</v>
      </c>
      <c r="I44" s="38"/>
      <c r="J44" s="6"/>
      <c r="K44" s="7"/>
      <c r="L44" s="38"/>
      <c r="M44" s="29"/>
      <c r="N44" s="29"/>
      <c r="O44" s="29"/>
      <c r="P44" s="29"/>
    </row>
    <row r="45" spans="2:20">
      <c r="C45" s="177"/>
      <c r="D45" s="185" t="s">
        <v>17</v>
      </c>
      <c r="E45" s="183">
        <f>P76</f>
        <v>0.49016203703703703</v>
      </c>
      <c r="F45" s="181" t="s">
        <v>11</v>
      </c>
      <c r="G45" s="179">
        <f>T76</f>
        <v>0.84549921095716984</v>
      </c>
      <c r="H45" s="172"/>
      <c r="I45" s="29"/>
      <c r="J45" s="29"/>
      <c r="K45" s="29"/>
      <c r="L45" s="29"/>
      <c r="M45" s="29"/>
      <c r="N45" s="29"/>
      <c r="O45" s="29"/>
      <c r="P45" s="29"/>
    </row>
    <row r="46" spans="2:20" ht="17" thickBot="1">
      <c r="C46" s="178"/>
      <c r="D46" s="186"/>
      <c r="E46" s="184"/>
      <c r="F46" s="182"/>
      <c r="G46" s="180"/>
      <c r="H46" s="173"/>
      <c r="I46" s="29"/>
      <c r="J46" s="29"/>
      <c r="K46" s="29"/>
      <c r="L46" s="29"/>
      <c r="M46" s="39"/>
      <c r="N46" s="29"/>
      <c r="O46" s="40"/>
      <c r="P46" s="41"/>
    </row>
    <row r="47" spans="2:20">
      <c r="I47" s="29"/>
      <c r="J47" s="29"/>
      <c r="K47" s="29"/>
      <c r="L47" s="29"/>
      <c r="M47" s="39"/>
      <c r="N47" s="29"/>
      <c r="O47" s="40"/>
      <c r="P47" s="41"/>
    </row>
    <row r="48" spans="2:20" ht="17" thickBot="1">
      <c r="B48" s="170" t="s">
        <v>38</v>
      </c>
      <c r="C48" s="170"/>
      <c r="D48" s="170"/>
      <c r="E48" s="170"/>
      <c r="F48" s="170"/>
      <c r="G48" s="170"/>
      <c r="H48" s="170"/>
      <c r="I48" s="126"/>
      <c r="J48" s="126"/>
      <c r="K48" s="126"/>
      <c r="L48" s="126"/>
      <c r="M48" s="126"/>
      <c r="N48" s="126"/>
      <c r="O48" s="127"/>
      <c r="P48" s="126"/>
      <c r="Q48" s="126"/>
      <c r="R48" s="171" t="s">
        <v>39</v>
      </c>
      <c r="S48" s="171"/>
      <c r="T48" s="171"/>
    </row>
    <row r="49" spans="2:20" ht="19" thickBot="1">
      <c r="B49" s="90" t="s">
        <v>6</v>
      </c>
      <c r="C49" s="91" t="s">
        <v>4</v>
      </c>
      <c r="D49" s="92" t="s">
        <v>0</v>
      </c>
      <c r="E49" s="93" t="s">
        <v>0</v>
      </c>
      <c r="F49" s="93" t="s">
        <v>1</v>
      </c>
      <c r="G49" s="240" t="s">
        <v>50</v>
      </c>
      <c r="H49" s="230"/>
      <c r="I49" s="231"/>
      <c r="J49" s="94" t="s">
        <v>19</v>
      </c>
      <c r="K49" s="95" t="s">
        <v>18</v>
      </c>
      <c r="L49" s="96" t="s">
        <v>20</v>
      </c>
      <c r="M49" s="97" t="s">
        <v>22</v>
      </c>
      <c r="N49" s="91" t="s">
        <v>2</v>
      </c>
      <c r="O49" s="91" t="s">
        <v>5</v>
      </c>
      <c r="P49" s="98" t="s">
        <v>7</v>
      </c>
      <c r="R49" s="106" t="s">
        <v>3</v>
      </c>
      <c r="S49" s="107" t="s">
        <v>13</v>
      </c>
      <c r="T49" s="108" t="s">
        <v>21</v>
      </c>
    </row>
    <row r="50" spans="2:20">
      <c r="B50" s="82"/>
      <c r="C50" s="174">
        <v>36526</v>
      </c>
      <c r="D50" s="174"/>
      <c r="E50" s="83"/>
      <c r="F50" s="83"/>
      <c r="G50" s="83"/>
      <c r="H50" s="232"/>
      <c r="I50" s="233"/>
      <c r="J50" s="85"/>
      <c r="K50" s="84"/>
      <c r="L50" s="86"/>
      <c r="M50" s="87"/>
      <c r="N50" s="86"/>
      <c r="O50" s="88"/>
      <c r="P50" s="89"/>
      <c r="R50" s="103"/>
      <c r="S50" s="104"/>
      <c r="T50" s="105"/>
    </row>
    <row r="51" spans="2:20">
      <c r="B51" s="58">
        <v>0</v>
      </c>
      <c r="C51" s="59">
        <f t="shared" ref="C51:C75" si="2">_xlfn.DAYS($E$12,$C$50)-0.5+B51/24</f>
        <v>7713.5</v>
      </c>
      <c r="D51" s="60">
        <f>0.0167089-(0.000042/36525)*C51</f>
        <v>1.670003026694045E-2</v>
      </c>
      <c r="E51" s="61">
        <f>23+26/60+21/3600-(46.82/3600/36525)*C51</f>
        <v>23.4364200998555</v>
      </c>
      <c r="F51" s="62">
        <f>282.94+(1.7192/36525)*C51</f>
        <v>283.30306773990418</v>
      </c>
      <c r="G51" s="63">
        <f>280.4656+(36000.769/36525)*C51</f>
        <v>7883.2563373442845</v>
      </c>
      <c r="H51" s="234"/>
      <c r="I51" s="235"/>
      <c r="J51" s="64">
        <f t="shared" ref="J51:J75" si="3">RADIANS((G51-F51)-360*INT((G51-F51)/360))</f>
        <v>0.69731610153341539</v>
      </c>
      <c r="K51" s="64">
        <f t="shared" ref="K51:K75" si="4">RADIANS(E51)</f>
        <v>0.40904269562305667</v>
      </c>
      <c r="L51" s="64">
        <f t="shared" ref="L51:L75" si="5">RADIANS(G51-360*INT(G51/360))</f>
        <v>5.6418874145952671</v>
      </c>
      <c r="M51" s="59">
        <f t="shared" ref="M51:M75" si="6">RADIANS((G51+N51)-360*INT((G51+N51)/360))</f>
        <v>5.6636825235555301</v>
      </c>
      <c r="N51" s="64">
        <f t="shared" ref="N51:N75" si="7">DEGREES((2*D51-D51^3/4+5*D51^5/96)*SIN(J51)+(5*D51^2/4-11*D51^4/24)*SIN(2*J51)+(13*D51^3/12-43*D51^5/64)*SIN(3*J51)+SIN(4*J51)*103*D51^4/96+1097*D51^5*SIN(5*J51)/960)</f>
        <v>1.248767757450655</v>
      </c>
      <c r="O51" s="59">
        <f>DEGREES(ATAN((TAN(L51)-TAN(M51)*COS(K51))/(1+TAN(L51)*TAN(M51)*COS(K51))))</f>
        <v>-3.5459569306778023</v>
      </c>
      <c r="P51" s="65">
        <f t="shared" ref="P51:P75" si="8">IF((15*(B51+12)+O51)&gt;360,15*(B51-12)+O51,15*(B51+12)+O51)</f>
        <v>176.45404306932221</v>
      </c>
      <c r="R51" s="100">
        <f t="shared" ref="R51:R75" si="9">DEGREES(IF(COS(M51)&gt;0,ATAN(COS(RADIANS(E51))*TAN(M51)),PI()+ATAN(COS(RADIANS(E51))*TAN(M51))))</f>
        <v>-33.197705725037714</v>
      </c>
      <c r="S51" s="101">
        <f t="shared" ref="S51:S75" si="10">DEGREES(ASIN(SIN(RADIANS(E51))*SIN(M51)))</f>
        <v>-13.352114809919824</v>
      </c>
      <c r="T51" s="99"/>
    </row>
    <row r="52" spans="2:20">
      <c r="B52" s="58">
        <f t="shared" ref="B52:B75" si="11">1+B51</f>
        <v>1</v>
      </c>
      <c r="C52" s="59">
        <f t="shared" si="2"/>
        <v>7713.541666666667</v>
      </c>
      <c r="D52" s="60">
        <f t="shared" ref="D52:D74" si="12">0.0167089-(0.000042/36525)*C52</f>
        <v>1.6700030219028061E-2</v>
      </c>
      <c r="E52" s="61">
        <f t="shared" ref="E52:E74" si="13">23+26/60+21/3600-(46.82/3600/36525)*C52</f>
        <v>23.436420085019137</v>
      </c>
      <c r="F52" s="62">
        <f t="shared" ref="F52:F74" si="14">282.94+(1.7192/36525)*C52</f>
        <v>283.30306970111798</v>
      </c>
      <c r="G52" s="63">
        <f t="shared" ref="G52:G74" si="15">280.4656+(36000.769/36525)*C52</f>
        <v>7883.297405983345</v>
      </c>
      <c r="H52" s="234"/>
      <c r="I52" s="235"/>
      <c r="J52" s="64">
        <f t="shared" si="3"/>
        <v>0.69803285027468698</v>
      </c>
      <c r="K52" s="64">
        <f t="shared" si="4"/>
        <v>0.40904269536411331</v>
      </c>
      <c r="L52" s="64">
        <f t="shared" si="5"/>
        <v>5.642604197566186</v>
      </c>
      <c r="M52" s="59">
        <f t="shared" si="6"/>
        <v>5.6644177331194516</v>
      </c>
      <c r="N52" s="64">
        <f t="shared" si="7"/>
        <v>1.249823523460986</v>
      </c>
      <c r="O52" s="59">
        <f t="shared" ref="O52:O74" si="16">DEGREES(ATAN((TAN(L52)-TAN(M52)*COS(K52))/(1+TAN(L52)*TAN(M52)*COS(K52))))</f>
        <v>-3.5457124596275635</v>
      </c>
      <c r="P52" s="65">
        <f t="shared" si="8"/>
        <v>191.45428754037243</v>
      </c>
      <c r="R52" s="100">
        <f t="shared" si="9"/>
        <v>-33.156881557027447</v>
      </c>
      <c r="S52" s="101">
        <f t="shared" si="10"/>
        <v>-13.338091859688928</v>
      </c>
      <c r="T52" s="102">
        <f t="shared" ref="T52:T73" si="17">(S52-S51)*60</f>
        <v>0.8413770138537302</v>
      </c>
    </row>
    <row r="53" spans="2:20">
      <c r="B53" s="58">
        <f t="shared" si="11"/>
        <v>2</v>
      </c>
      <c r="C53" s="59">
        <f t="shared" si="2"/>
        <v>7713.583333333333</v>
      </c>
      <c r="D53" s="60">
        <f t="shared" si="12"/>
        <v>1.6700030171115671E-2</v>
      </c>
      <c r="E53" s="61">
        <f t="shared" si="13"/>
        <v>23.436420070182777</v>
      </c>
      <c r="F53" s="62">
        <f t="shared" si="14"/>
        <v>283.30307166233172</v>
      </c>
      <c r="G53" s="63">
        <f t="shared" si="15"/>
        <v>7883.3384746224056</v>
      </c>
      <c r="H53" s="234"/>
      <c r="I53" s="235"/>
      <c r="J53" s="64">
        <f t="shared" si="3"/>
        <v>0.69874959901597433</v>
      </c>
      <c r="K53" s="64">
        <f t="shared" si="4"/>
        <v>0.40904269510517</v>
      </c>
      <c r="L53" s="64">
        <f t="shared" si="5"/>
        <v>5.6433209805371058</v>
      </c>
      <c r="M53" s="59">
        <f t="shared" si="6"/>
        <v>5.6651529309298203</v>
      </c>
      <c r="N53" s="64">
        <f t="shared" si="7"/>
        <v>1.2508786160418386</v>
      </c>
      <c r="O53" s="59">
        <f t="shared" si="16"/>
        <v>-3.5454625973787621</v>
      </c>
      <c r="P53" s="65">
        <f t="shared" si="8"/>
        <v>206.45453740262124</v>
      </c>
      <c r="R53" s="100">
        <f t="shared" si="9"/>
        <v>-33.116062780215692</v>
      </c>
      <c r="S53" s="101">
        <f t="shared" si="10"/>
        <v>-13.324062605102714</v>
      </c>
      <c r="T53" s="102">
        <f t="shared" si="17"/>
        <v>0.84175527517285076</v>
      </c>
    </row>
    <row r="54" spans="2:20">
      <c r="B54" s="58">
        <f t="shared" si="11"/>
        <v>3</v>
      </c>
      <c r="C54" s="59">
        <f t="shared" si="2"/>
        <v>7713.625</v>
      </c>
      <c r="D54" s="60">
        <f t="shared" si="12"/>
        <v>1.6700030123203286E-2</v>
      </c>
      <c r="E54" s="61">
        <f t="shared" si="13"/>
        <v>23.436420055346414</v>
      </c>
      <c r="F54" s="62">
        <f t="shared" si="14"/>
        <v>283.30307362354552</v>
      </c>
      <c r="G54" s="63">
        <f t="shared" si="15"/>
        <v>7883.3795432614661</v>
      </c>
      <c r="H54" s="234"/>
      <c r="I54" s="235"/>
      <c r="J54" s="64">
        <f t="shared" si="3"/>
        <v>0.6994663477572618</v>
      </c>
      <c r="K54" s="64">
        <f t="shared" si="4"/>
        <v>0.40904269484622657</v>
      </c>
      <c r="L54" s="64">
        <f t="shared" si="5"/>
        <v>5.6440377635080257</v>
      </c>
      <c r="M54" s="59">
        <f t="shared" si="6"/>
        <v>5.6658881169770643</v>
      </c>
      <c r="N54" s="64">
        <f t="shared" si="7"/>
        <v>1.2519330346449042</v>
      </c>
      <c r="O54" s="59">
        <f t="shared" si="16"/>
        <v>-3.545207347143434</v>
      </c>
      <c r="P54" s="65">
        <f t="shared" si="8"/>
        <v>221.45479265285655</v>
      </c>
      <c r="R54" s="100">
        <f t="shared" si="9"/>
        <v>-33.075249391390464</v>
      </c>
      <c r="S54" s="101">
        <f t="shared" si="10"/>
        <v>-13.310027054534494</v>
      </c>
      <c r="T54" s="102">
        <f t="shared" si="17"/>
        <v>0.84213303409320872</v>
      </c>
    </row>
    <row r="55" spans="2:20">
      <c r="B55" s="58">
        <f t="shared" si="11"/>
        <v>4</v>
      </c>
      <c r="C55" s="59">
        <f t="shared" si="2"/>
        <v>7713.666666666667</v>
      </c>
      <c r="D55" s="60">
        <f t="shared" si="12"/>
        <v>1.6700030075290896E-2</v>
      </c>
      <c r="E55" s="61">
        <f t="shared" si="13"/>
        <v>23.43642004051005</v>
      </c>
      <c r="F55" s="62">
        <f t="shared" si="14"/>
        <v>283.30307558475931</v>
      </c>
      <c r="G55" s="63">
        <f t="shared" si="15"/>
        <v>7883.4206119005248</v>
      </c>
      <c r="H55" s="234"/>
      <c r="I55" s="235"/>
      <c r="J55" s="64">
        <f t="shared" si="3"/>
        <v>0.70018309649850163</v>
      </c>
      <c r="K55" s="64">
        <f t="shared" si="4"/>
        <v>0.40904269458728321</v>
      </c>
      <c r="L55" s="64">
        <f t="shared" si="5"/>
        <v>5.6447545464789135</v>
      </c>
      <c r="M55" s="59">
        <f t="shared" si="6"/>
        <v>5.6666232912515788</v>
      </c>
      <c r="N55" s="64">
        <f t="shared" si="7"/>
        <v>1.2529867787222411</v>
      </c>
      <c r="O55" s="59">
        <f t="shared" si="16"/>
        <v>-3.5449467121416673</v>
      </c>
      <c r="P55" s="65">
        <f t="shared" si="8"/>
        <v>236.45505328785833</v>
      </c>
      <c r="R55" s="100">
        <f t="shared" si="9"/>
        <v>-33.034441387333509</v>
      </c>
      <c r="S55" s="101">
        <f t="shared" si="10"/>
        <v>-13.295985216358071</v>
      </c>
      <c r="T55" s="102">
        <f t="shared" si="17"/>
        <v>0.84251029058538762</v>
      </c>
    </row>
    <row r="56" spans="2:20">
      <c r="B56" s="58">
        <f t="shared" si="11"/>
        <v>5</v>
      </c>
      <c r="C56" s="59">
        <f t="shared" si="2"/>
        <v>7713.708333333333</v>
      </c>
      <c r="D56" s="60">
        <f t="shared" si="12"/>
        <v>1.6700030027378507E-2</v>
      </c>
      <c r="E56" s="61">
        <f t="shared" si="13"/>
        <v>23.436420025673687</v>
      </c>
      <c r="F56" s="62">
        <f t="shared" si="14"/>
        <v>283.30307754597305</v>
      </c>
      <c r="G56" s="63">
        <f t="shared" si="15"/>
        <v>7883.4616805395854</v>
      </c>
      <c r="H56" s="234"/>
      <c r="I56" s="235"/>
      <c r="J56" s="64">
        <f t="shared" si="3"/>
        <v>0.7008998452397891</v>
      </c>
      <c r="K56" s="64">
        <f t="shared" si="4"/>
        <v>0.40904269432833984</v>
      </c>
      <c r="L56" s="64">
        <f t="shared" si="5"/>
        <v>5.6454713294498333</v>
      </c>
      <c r="M56" s="59">
        <f t="shared" si="6"/>
        <v>5.6673584537438728</v>
      </c>
      <c r="N56" s="64">
        <f t="shared" si="7"/>
        <v>1.2540398477265313</v>
      </c>
      <c r="O56" s="59">
        <f t="shared" si="16"/>
        <v>-3.5446806956024068</v>
      </c>
      <c r="P56" s="65">
        <f t="shared" si="8"/>
        <v>251.45531930439759</v>
      </c>
      <c r="R56" s="100">
        <f t="shared" si="9"/>
        <v>-32.993638764812218</v>
      </c>
      <c r="S56" s="101">
        <f t="shared" si="10"/>
        <v>-13.281937098944915</v>
      </c>
      <c r="T56" s="102">
        <f t="shared" si="17"/>
        <v>0.84288704478932885</v>
      </c>
    </row>
    <row r="57" spans="2:20">
      <c r="B57" s="58">
        <f t="shared" si="11"/>
        <v>6</v>
      </c>
      <c r="C57" s="59">
        <f t="shared" si="2"/>
        <v>7713.75</v>
      </c>
      <c r="D57" s="60">
        <f t="shared" si="12"/>
        <v>1.6700029979466118E-2</v>
      </c>
      <c r="E57" s="61">
        <f t="shared" si="13"/>
        <v>23.436420010837324</v>
      </c>
      <c r="F57" s="62">
        <f t="shared" si="14"/>
        <v>283.30307950718685</v>
      </c>
      <c r="G57" s="63">
        <f t="shared" si="15"/>
        <v>7883.5027491786459</v>
      </c>
      <c r="H57" s="234"/>
      <c r="I57" s="235"/>
      <c r="J57" s="64">
        <f t="shared" si="3"/>
        <v>0.70161659398106058</v>
      </c>
      <c r="K57" s="64">
        <f t="shared" si="4"/>
        <v>0.40904269406939642</v>
      </c>
      <c r="L57" s="64">
        <f t="shared" si="5"/>
        <v>5.6461881124207522</v>
      </c>
      <c r="M57" s="59">
        <f t="shared" si="6"/>
        <v>5.6680936044443744</v>
      </c>
      <c r="N57" s="64">
        <f t="shared" si="7"/>
        <v>1.2550922411106384</v>
      </c>
      <c r="O57" s="59">
        <f t="shared" si="16"/>
        <v>-3.5444093007637072</v>
      </c>
      <c r="P57" s="65">
        <f t="shared" si="8"/>
        <v>266.45559069923627</v>
      </c>
      <c r="R57" s="100">
        <f t="shared" si="9"/>
        <v>-32.952841520590418</v>
      </c>
      <c r="S57" s="101">
        <f t="shared" si="10"/>
        <v>-13.26788271066787</v>
      </c>
      <c r="T57" s="102">
        <f t="shared" si="17"/>
        <v>0.84326329662275157</v>
      </c>
    </row>
    <row r="58" spans="2:20">
      <c r="B58" s="58">
        <f t="shared" si="11"/>
        <v>7</v>
      </c>
      <c r="C58" s="59">
        <f t="shared" si="2"/>
        <v>7713.791666666667</v>
      </c>
      <c r="D58" s="60">
        <f t="shared" si="12"/>
        <v>1.6700029931553728E-2</v>
      </c>
      <c r="E58" s="61">
        <f t="shared" si="13"/>
        <v>23.436419996000961</v>
      </c>
      <c r="F58" s="62">
        <f t="shared" si="14"/>
        <v>283.30308146840065</v>
      </c>
      <c r="G58" s="63">
        <f t="shared" si="15"/>
        <v>7883.5438178177046</v>
      </c>
      <c r="H58" s="234"/>
      <c r="I58" s="235"/>
      <c r="J58" s="64">
        <f t="shared" si="3"/>
        <v>0.70233334272231629</v>
      </c>
      <c r="K58" s="64">
        <f t="shared" si="4"/>
        <v>0.40904269381045305</v>
      </c>
      <c r="L58" s="64">
        <f t="shared" si="5"/>
        <v>5.6469048953916401</v>
      </c>
      <c r="M58" s="59">
        <f t="shared" si="6"/>
        <v>5.6688287433434947</v>
      </c>
      <c r="N58" s="64">
        <f t="shared" si="7"/>
        <v>1.2561439583279321</v>
      </c>
      <c r="O58" s="59">
        <f t="shared" si="16"/>
        <v>-3.5441325308705638</v>
      </c>
      <c r="P58" s="65">
        <f t="shared" si="8"/>
        <v>281.45586746912943</v>
      </c>
      <c r="R58" s="100">
        <f t="shared" si="9"/>
        <v>-32.912049651424844</v>
      </c>
      <c r="S58" s="101">
        <f t="shared" si="10"/>
        <v>-13.253822059899935</v>
      </c>
      <c r="T58" s="102">
        <f t="shared" si="17"/>
        <v>0.84363904607606344</v>
      </c>
    </row>
    <row r="59" spans="2:20">
      <c r="B59" s="58">
        <f t="shared" si="11"/>
        <v>8</v>
      </c>
      <c r="C59" s="59">
        <f t="shared" si="2"/>
        <v>7713.833333333333</v>
      </c>
      <c r="D59" s="60">
        <f t="shared" si="12"/>
        <v>1.6700029883641339E-2</v>
      </c>
      <c r="E59" s="61">
        <f t="shared" si="13"/>
        <v>23.436419981164597</v>
      </c>
      <c r="F59" s="62">
        <f t="shared" si="14"/>
        <v>283.30308342961439</v>
      </c>
      <c r="G59" s="63">
        <f t="shared" si="15"/>
        <v>7883.5848864567652</v>
      </c>
      <c r="H59" s="234"/>
      <c r="I59" s="235"/>
      <c r="J59" s="64">
        <f t="shared" si="3"/>
        <v>0.70305009146360375</v>
      </c>
      <c r="K59" s="64">
        <f t="shared" si="4"/>
        <v>0.40904269355150968</v>
      </c>
      <c r="L59" s="64">
        <f t="shared" si="5"/>
        <v>5.6476216783625599</v>
      </c>
      <c r="M59" s="59">
        <f t="shared" si="6"/>
        <v>5.6695638704317908</v>
      </c>
      <c r="N59" s="64">
        <f t="shared" si="7"/>
        <v>1.2571949988322679</v>
      </c>
      <c r="O59" s="59">
        <f t="shared" si="16"/>
        <v>-3.543850389178727</v>
      </c>
      <c r="P59" s="65">
        <f t="shared" si="8"/>
        <v>296.45614961082129</v>
      </c>
      <c r="R59" s="100">
        <f t="shared" si="9"/>
        <v>-32.871263154056123</v>
      </c>
      <c r="S59" s="101">
        <f t="shared" si="10"/>
        <v>-13.239755155011158</v>
      </c>
      <c r="T59" s="102">
        <f t="shared" si="17"/>
        <v>0.84401429332661593</v>
      </c>
    </row>
    <row r="60" spans="2:20">
      <c r="B60" s="58">
        <f t="shared" si="11"/>
        <v>9</v>
      </c>
      <c r="C60" s="59">
        <f t="shared" si="2"/>
        <v>7713.875</v>
      </c>
      <c r="D60" s="60">
        <f t="shared" si="12"/>
        <v>1.6700029835728953E-2</v>
      </c>
      <c r="E60" s="61">
        <f t="shared" si="13"/>
        <v>23.436419966328238</v>
      </c>
      <c r="F60" s="62">
        <f t="shared" si="14"/>
        <v>283.30308539082819</v>
      </c>
      <c r="G60" s="63">
        <f t="shared" si="15"/>
        <v>7883.6259550958257</v>
      </c>
      <c r="H60" s="234"/>
      <c r="I60" s="235"/>
      <c r="J60" s="64">
        <f t="shared" si="3"/>
        <v>0.70376684020487534</v>
      </c>
      <c r="K60" s="64">
        <f t="shared" si="4"/>
        <v>0.40904269329256632</v>
      </c>
      <c r="L60" s="64">
        <f t="shared" si="5"/>
        <v>5.6483384613334797</v>
      </c>
      <c r="M60" s="59">
        <f t="shared" si="6"/>
        <v>5.6702989856996888</v>
      </c>
      <c r="N60" s="64">
        <f t="shared" si="7"/>
        <v>1.2582453620777758</v>
      </c>
      <c r="O60" s="59">
        <f t="shared" si="16"/>
        <v>-3.5435628789501528</v>
      </c>
      <c r="P60" s="65">
        <f t="shared" si="8"/>
        <v>311.45643712104987</v>
      </c>
      <c r="R60" s="100">
        <f t="shared" si="9"/>
        <v>-32.830482025224143</v>
      </c>
      <c r="S60" s="101">
        <f t="shared" si="10"/>
        <v>-13.225682004373876</v>
      </c>
      <c r="T60" s="102">
        <f t="shared" si="17"/>
        <v>0.84438903823691902</v>
      </c>
    </row>
    <row r="61" spans="2:20">
      <c r="B61" s="74">
        <f t="shared" si="11"/>
        <v>10</v>
      </c>
      <c r="C61" s="75">
        <f t="shared" si="2"/>
        <v>7713.916666666667</v>
      </c>
      <c r="D61" s="76">
        <f t="shared" si="12"/>
        <v>1.6700029787816564E-2</v>
      </c>
      <c r="E61" s="77">
        <f t="shared" si="13"/>
        <v>23.436419951491875</v>
      </c>
      <c r="F61" s="78">
        <f t="shared" si="14"/>
        <v>283.30308735204198</v>
      </c>
      <c r="G61" s="79">
        <f t="shared" si="15"/>
        <v>7883.6670237348862</v>
      </c>
      <c r="H61" s="236"/>
      <c r="I61" s="237"/>
      <c r="J61" s="80">
        <f t="shared" si="3"/>
        <v>0.7044835889461627</v>
      </c>
      <c r="K61" s="80">
        <f t="shared" si="4"/>
        <v>0.40904269303362295</v>
      </c>
      <c r="L61" s="80">
        <f t="shared" si="5"/>
        <v>5.6490552443043995</v>
      </c>
      <c r="M61" s="75">
        <f t="shared" si="6"/>
        <v>5.6710340891376658</v>
      </c>
      <c r="N61" s="80">
        <f t="shared" si="7"/>
        <v>1.2592950475191169</v>
      </c>
      <c r="O61" s="75">
        <f t="shared" si="16"/>
        <v>-3.5432700034557554</v>
      </c>
      <c r="P61" s="81">
        <f t="shared" si="8"/>
        <v>326.45672999654425</v>
      </c>
      <c r="R61" s="100">
        <f t="shared" si="9"/>
        <v>-32.789706261657983</v>
      </c>
      <c r="S61" s="101">
        <f t="shared" si="10"/>
        <v>-13.211602616359299</v>
      </c>
      <c r="T61" s="102">
        <f t="shared" si="17"/>
        <v>0.84476328087465191</v>
      </c>
    </row>
    <row r="62" spans="2:20">
      <c r="B62" s="58">
        <f t="shared" si="11"/>
        <v>11</v>
      </c>
      <c r="C62" s="59">
        <f t="shared" si="2"/>
        <v>7713.958333333333</v>
      </c>
      <c r="D62" s="60">
        <f t="shared" si="12"/>
        <v>1.6700029739904174E-2</v>
      </c>
      <c r="E62" s="61">
        <f t="shared" si="13"/>
        <v>23.436419936655511</v>
      </c>
      <c r="F62" s="62">
        <f t="shared" si="14"/>
        <v>283.30308931325578</v>
      </c>
      <c r="G62" s="63">
        <f t="shared" si="15"/>
        <v>7883.708092373945</v>
      </c>
      <c r="H62" s="234"/>
      <c r="I62" s="235"/>
      <c r="J62" s="64">
        <f t="shared" si="3"/>
        <v>0.70520033768741841</v>
      </c>
      <c r="K62" s="64">
        <f t="shared" si="4"/>
        <v>0.40904269277467958</v>
      </c>
      <c r="L62" s="64">
        <f t="shared" si="5"/>
        <v>5.6497720272752874</v>
      </c>
      <c r="M62" s="59">
        <f t="shared" si="6"/>
        <v>5.6717691807361819</v>
      </c>
      <c r="N62" s="64">
        <f t="shared" si="7"/>
        <v>1.2603440546112521</v>
      </c>
      <c r="O62" s="59">
        <f t="shared" si="16"/>
        <v>-3.5429717659753326</v>
      </c>
      <c r="P62" s="65">
        <f t="shared" si="8"/>
        <v>341.45702823402468</v>
      </c>
      <c r="R62" s="100">
        <f t="shared" si="9"/>
        <v>-32.748935860079683</v>
      </c>
      <c r="S62" s="101">
        <f t="shared" si="10"/>
        <v>-13.197516999338736</v>
      </c>
      <c r="T62" s="102">
        <f t="shared" si="17"/>
        <v>0.84513702123373946</v>
      </c>
    </row>
    <row r="63" spans="2:20">
      <c r="B63" s="58">
        <f t="shared" si="11"/>
        <v>12</v>
      </c>
      <c r="C63" s="59">
        <f t="shared" si="2"/>
        <v>7714</v>
      </c>
      <c r="D63" s="60">
        <f t="shared" si="12"/>
        <v>1.6700029691991785E-2</v>
      </c>
      <c r="E63" s="61">
        <f t="shared" si="13"/>
        <v>23.436419921819148</v>
      </c>
      <c r="F63" s="62">
        <f t="shared" si="14"/>
        <v>283.30309127446952</v>
      </c>
      <c r="G63" s="63">
        <f t="shared" si="15"/>
        <v>7883.7491610130055</v>
      </c>
      <c r="H63" s="234"/>
      <c r="I63" s="235"/>
      <c r="J63" s="64">
        <f t="shared" si="3"/>
        <v>0.70591708642869</v>
      </c>
      <c r="K63" s="64">
        <f t="shared" si="4"/>
        <v>0.40904269251573616</v>
      </c>
      <c r="L63" s="64">
        <f t="shared" si="5"/>
        <v>5.6504888102462063</v>
      </c>
      <c r="M63" s="59">
        <f t="shared" si="6"/>
        <v>5.6725042604858071</v>
      </c>
      <c r="N63" s="64">
        <f t="shared" si="7"/>
        <v>1.2613923828096971</v>
      </c>
      <c r="O63" s="59">
        <f t="shared" si="16"/>
        <v>-3.5426681697972837</v>
      </c>
      <c r="P63" s="65">
        <f t="shared" si="8"/>
        <v>356.45733183020269</v>
      </c>
      <c r="R63" s="100">
        <f t="shared" si="9"/>
        <v>-32.708170817197235</v>
      </c>
      <c r="S63" s="101">
        <f t="shared" si="10"/>
        <v>-13.183425161681216</v>
      </c>
      <c r="T63" s="102">
        <f t="shared" si="17"/>
        <v>0.84551025945124536</v>
      </c>
    </row>
    <row r="64" spans="2:20">
      <c r="B64" s="58">
        <f t="shared" si="11"/>
        <v>13</v>
      </c>
      <c r="C64" s="59">
        <f t="shared" si="2"/>
        <v>7714.041666666667</v>
      </c>
      <c r="D64" s="60">
        <f t="shared" si="12"/>
        <v>1.6700029644079396E-2</v>
      </c>
      <c r="E64" s="61">
        <f t="shared" si="13"/>
        <v>23.436419906982785</v>
      </c>
      <c r="F64" s="62">
        <f t="shared" si="14"/>
        <v>283.30309323568332</v>
      </c>
      <c r="G64" s="63">
        <f t="shared" si="15"/>
        <v>7883.790229652066</v>
      </c>
      <c r="H64" s="234"/>
      <c r="I64" s="235"/>
      <c r="J64" s="64">
        <f t="shared" si="3"/>
        <v>0.70663383516997746</v>
      </c>
      <c r="K64" s="64">
        <f t="shared" si="4"/>
        <v>0.40904269225679279</v>
      </c>
      <c r="L64" s="64">
        <f t="shared" si="5"/>
        <v>5.6512055932171261</v>
      </c>
      <c r="M64" s="59">
        <f t="shared" si="6"/>
        <v>5.6732393283770017</v>
      </c>
      <c r="N64" s="64">
        <f t="shared" si="7"/>
        <v>1.262440031570315</v>
      </c>
      <c r="O64" s="59">
        <f t="shared" si="16"/>
        <v>-3.5423592182172001</v>
      </c>
      <c r="P64" s="65">
        <f t="shared" si="8"/>
        <v>11.4576407817828</v>
      </c>
      <c r="R64" s="100">
        <f t="shared" si="9"/>
        <v>-32.667411129716761</v>
      </c>
      <c r="S64" s="101">
        <f t="shared" si="10"/>
        <v>-13.169327111757662</v>
      </c>
      <c r="T64" s="102">
        <f t="shared" si="17"/>
        <v>0.84588299541323408</v>
      </c>
    </row>
    <row r="65" spans="2:20">
      <c r="B65" s="58">
        <f t="shared" si="11"/>
        <v>14</v>
      </c>
      <c r="C65" s="59">
        <f t="shared" si="2"/>
        <v>7714.083333333333</v>
      </c>
      <c r="D65" s="60">
        <f t="shared" si="12"/>
        <v>1.6700029596167006E-2</v>
      </c>
      <c r="E65" s="61">
        <f t="shared" si="13"/>
        <v>23.436419892146422</v>
      </c>
      <c r="F65" s="62">
        <f t="shared" si="14"/>
        <v>283.30309519689712</v>
      </c>
      <c r="G65" s="63">
        <f t="shared" si="15"/>
        <v>7883.8312982911248</v>
      </c>
      <c r="H65" s="234"/>
      <c r="I65" s="235"/>
      <c r="J65" s="64">
        <f t="shared" si="3"/>
        <v>0.70735058391123307</v>
      </c>
      <c r="K65" s="64">
        <f t="shared" si="4"/>
        <v>0.40904269199784937</v>
      </c>
      <c r="L65" s="64">
        <f t="shared" si="5"/>
        <v>5.651922376188014</v>
      </c>
      <c r="M65" s="59">
        <f t="shared" si="6"/>
        <v>5.6739743844002577</v>
      </c>
      <c r="N65" s="64">
        <f t="shared" si="7"/>
        <v>1.2634870003493133</v>
      </c>
      <c r="O65" s="59">
        <f t="shared" si="16"/>
        <v>-3.5420449145405204</v>
      </c>
      <c r="P65" s="65">
        <f t="shared" si="8"/>
        <v>26.457955085459481</v>
      </c>
      <c r="R65" s="100">
        <f t="shared" si="9"/>
        <v>-32.626656794334721</v>
      </c>
      <c r="S65" s="101">
        <f t="shared" si="10"/>
        <v>-13.155222857938163</v>
      </c>
      <c r="T65" s="102">
        <f t="shared" si="17"/>
        <v>0.84625522916990548</v>
      </c>
    </row>
    <row r="66" spans="2:20">
      <c r="B66" s="58">
        <f t="shared" si="11"/>
        <v>15</v>
      </c>
      <c r="C66" s="59">
        <f t="shared" si="2"/>
        <v>7714.125</v>
      </c>
      <c r="D66" s="60">
        <f t="shared" si="12"/>
        <v>1.670002954825462E-2</v>
      </c>
      <c r="E66" s="61">
        <f t="shared" si="13"/>
        <v>23.436419877310062</v>
      </c>
      <c r="F66" s="62">
        <f t="shared" si="14"/>
        <v>283.30309715811086</v>
      </c>
      <c r="G66" s="63">
        <f t="shared" si="15"/>
        <v>7883.8723669301853</v>
      </c>
      <c r="H66" s="234"/>
      <c r="I66" s="235"/>
      <c r="J66" s="64">
        <f t="shared" si="3"/>
        <v>0.70806733265250466</v>
      </c>
      <c r="K66" s="64">
        <f t="shared" si="4"/>
        <v>0.40904269173890606</v>
      </c>
      <c r="L66" s="64">
        <f t="shared" si="5"/>
        <v>5.6526391591589338</v>
      </c>
      <c r="M66" s="59">
        <f t="shared" si="6"/>
        <v>5.6747094285461301</v>
      </c>
      <c r="N66" s="64">
        <f t="shared" si="7"/>
        <v>1.2645332886034573</v>
      </c>
      <c r="O66" s="59">
        <f t="shared" si="16"/>
        <v>-3.5417252620785638</v>
      </c>
      <c r="P66" s="65">
        <f t="shared" si="8"/>
        <v>41.458274737921435</v>
      </c>
      <c r="R66" s="100">
        <f t="shared" si="9"/>
        <v>-32.58590780773612</v>
      </c>
      <c r="S66" s="101">
        <f t="shared" si="10"/>
        <v>-13.1411124085914</v>
      </c>
      <c r="T66" s="102">
        <f t="shared" si="17"/>
        <v>0.84662696080577859</v>
      </c>
    </row>
    <row r="67" spans="2:20">
      <c r="B67" s="58">
        <f t="shared" si="11"/>
        <v>16</v>
      </c>
      <c r="C67" s="59">
        <f t="shared" si="2"/>
        <v>7714.166666666667</v>
      </c>
      <c r="D67" s="60">
        <f t="shared" si="12"/>
        <v>1.6700029500342231E-2</v>
      </c>
      <c r="E67" s="61">
        <f t="shared" si="13"/>
        <v>23.436419862473699</v>
      </c>
      <c r="F67" s="62">
        <f t="shared" si="14"/>
        <v>283.30309911932466</v>
      </c>
      <c r="G67" s="63">
        <f t="shared" si="15"/>
        <v>7883.9134355692458</v>
      </c>
      <c r="H67" s="234"/>
      <c r="I67" s="235"/>
      <c r="J67" s="64">
        <f t="shared" si="3"/>
        <v>0.70878408139379212</v>
      </c>
      <c r="K67" s="64">
        <f t="shared" si="4"/>
        <v>0.40904269147996269</v>
      </c>
      <c r="L67" s="64">
        <f t="shared" si="5"/>
        <v>5.6533559421298527</v>
      </c>
      <c r="M67" s="59">
        <f t="shared" si="6"/>
        <v>5.6754444608051422</v>
      </c>
      <c r="N67" s="64">
        <f t="shared" si="7"/>
        <v>1.2655788957898582</v>
      </c>
      <c r="O67" s="59">
        <f t="shared" si="16"/>
        <v>-3.5414002641543019</v>
      </c>
      <c r="P67" s="65">
        <f t="shared" si="8"/>
        <v>56.458599735845695</v>
      </c>
      <c r="R67" s="100">
        <f t="shared" si="9"/>
        <v>-32.545164166599882</v>
      </c>
      <c r="S67" s="101">
        <f t="shared" si="10"/>
        <v>-13.126995772086437</v>
      </c>
      <c r="T67" s="102">
        <f t="shared" si="17"/>
        <v>0.84699819029783185</v>
      </c>
    </row>
    <row r="68" spans="2:20">
      <c r="B68" s="58">
        <f t="shared" si="11"/>
        <v>17</v>
      </c>
      <c r="C68" s="59">
        <f t="shared" si="2"/>
        <v>7714.208333333333</v>
      </c>
      <c r="D68" s="60">
        <f t="shared" si="12"/>
        <v>1.6700029452429842E-2</v>
      </c>
      <c r="E68" s="61">
        <f t="shared" si="13"/>
        <v>23.436419847637335</v>
      </c>
      <c r="F68" s="62">
        <f t="shared" si="14"/>
        <v>283.30310108053845</v>
      </c>
      <c r="G68" s="63">
        <f t="shared" si="15"/>
        <v>7883.9545042083046</v>
      </c>
      <c r="H68" s="234"/>
      <c r="I68" s="235"/>
      <c r="J68" s="64">
        <f t="shared" si="3"/>
        <v>0.70950083013503196</v>
      </c>
      <c r="K68" s="64">
        <f t="shared" si="4"/>
        <v>0.40904269122101927</v>
      </c>
      <c r="L68" s="64">
        <f t="shared" si="5"/>
        <v>5.6540727251007405</v>
      </c>
      <c r="M68" s="59">
        <f t="shared" si="6"/>
        <v>5.6761794811677699</v>
      </c>
      <c r="N68" s="64">
        <f t="shared" si="7"/>
        <v>1.2666238213659535</v>
      </c>
      <c r="O68" s="59">
        <f t="shared" si="16"/>
        <v>-3.5410699240958503</v>
      </c>
      <c r="P68" s="65">
        <f t="shared" si="8"/>
        <v>71.458930075904149</v>
      </c>
      <c r="R68" s="100">
        <f t="shared" si="9"/>
        <v>-32.504425867599615</v>
      </c>
      <c r="S68" s="101">
        <f t="shared" si="10"/>
        <v>-13.112872956793003</v>
      </c>
      <c r="T68" s="102">
        <f t="shared" si="17"/>
        <v>0.84736891760599065</v>
      </c>
    </row>
    <row r="69" spans="2:20">
      <c r="B69" s="58">
        <f t="shared" si="11"/>
        <v>18</v>
      </c>
      <c r="C69" s="59">
        <f t="shared" si="2"/>
        <v>7714.25</v>
      </c>
      <c r="D69" s="60">
        <f t="shared" si="12"/>
        <v>1.6700029404517452E-2</v>
      </c>
      <c r="E69" s="61">
        <f t="shared" si="13"/>
        <v>23.436419832800972</v>
      </c>
      <c r="F69" s="62">
        <f t="shared" si="14"/>
        <v>283.30310304175219</v>
      </c>
      <c r="G69" s="63">
        <f t="shared" si="15"/>
        <v>7883.9955728473651</v>
      </c>
      <c r="H69" s="234"/>
      <c r="I69" s="235"/>
      <c r="J69" s="64">
        <f t="shared" si="3"/>
        <v>0.71021757887631931</v>
      </c>
      <c r="K69" s="64">
        <f t="shared" si="4"/>
        <v>0.40904269096207591</v>
      </c>
      <c r="L69" s="64">
        <f t="shared" si="5"/>
        <v>5.6547895080716604</v>
      </c>
      <c r="M69" s="59">
        <f t="shared" si="6"/>
        <v>5.6769144896246324</v>
      </c>
      <c r="N69" s="64">
        <f t="shared" si="7"/>
        <v>1.2676680647898264</v>
      </c>
      <c r="O69" s="59">
        <f t="shared" si="16"/>
        <v>-3.5407342452417736</v>
      </c>
      <c r="P69" s="65">
        <f t="shared" si="8"/>
        <v>86.459265754758221</v>
      </c>
      <c r="R69" s="100">
        <f t="shared" si="9"/>
        <v>-32.463692907393131</v>
      </c>
      <c r="S69" s="101">
        <f t="shared" si="10"/>
        <v>-13.098743971077871</v>
      </c>
      <c r="T69" s="102">
        <f t="shared" si="17"/>
        <v>0.84773914290792618</v>
      </c>
    </row>
    <row r="70" spans="2:20">
      <c r="B70" s="58">
        <f t="shared" si="11"/>
        <v>19</v>
      </c>
      <c r="C70" s="59">
        <f t="shared" si="2"/>
        <v>7714.291666666667</v>
      </c>
      <c r="D70" s="60">
        <f t="shared" si="12"/>
        <v>1.6700029356605063E-2</v>
      </c>
      <c r="E70" s="61">
        <f t="shared" si="13"/>
        <v>23.436419817964609</v>
      </c>
      <c r="F70" s="62">
        <f t="shared" si="14"/>
        <v>283.30310500296599</v>
      </c>
      <c r="G70" s="63">
        <f t="shared" si="15"/>
        <v>7884.0366414864257</v>
      </c>
      <c r="H70" s="234"/>
      <c r="I70" s="235"/>
      <c r="J70" s="64">
        <f t="shared" si="3"/>
        <v>0.71093432761760678</v>
      </c>
      <c r="K70" s="64">
        <f t="shared" si="4"/>
        <v>0.40904269070313254</v>
      </c>
      <c r="L70" s="64">
        <f t="shared" si="5"/>
        <v>5.6555062910425802</v>
      </c>
      <c r="M70" s="59">
        <f t="shared" si="6"/>
        <v>5.6776494861662359</v>
      </c>
      <c r="N70" s="64">
        <f t="shared" si="7"/>
        <v>1.2687116255197741</v>
      </c>
      <c r="O70" s="59">
        <f t="shared" si="16"/>
        <v>-3.540393230937676</v>
      </c>
      <c r="P70" s="65">
        <f t="shared" si="8"/>
        <v>101.45960676906232</v>
      </c>
      <c r="R70" s="100">
        <f t="shared" si="9"/>
        <v>-32.422965282636675</v>
      </c>
      <c r="S70" s="101">
        <f t="shared" si="10"/>
        <v>-13.084608823309733</v>
      </c>
      <c r="T70" s="102">
        <f t="shared" si="17"/>
        <v>0.84810886608831737</v>
      </c>
    </row>
    <row r="71" spans="2:20">
      <c r="B71" s="58">
        <f t="shared" si="11"/>
        <v>20</v>
      </c>
      <c r="C71" s="59">
        <f t="shared" si="2"/>
        <v>7714.333333333333</v>
      </c>
      <c r="D71" s="60">
        <f t="shared" si="12"/>
        <v>1.6700029308692674E-2</v>
      </c>
      <c r="E71" s="61">
        <f t="shared" si="13"/>
        <v>23.436419803128246</v>
      </c>
      <c r="F71" s="62">
        <f t="shared" si="14"/>
        <v>283.30310696417979</v>
      </c>
      <c r="G71" s="63">
        <f t="shared" si="15"/>
        <v>7884.0777101254844</v>
      </c>
      <c r="H71" s="234"/>
      <c r="I71" s="235"/>
      <c r="J71" s="64">
        <f t="shared" si="3"/>
        <v>0.71165107635884661</v>
      </c>
      <c r="K71" s="64">
        <f t="shared" si="4"/>
        <v>0.40904269044418912</v>
      </c>
      <c r="L71" s="64">
        <f t="shared" si="5"/>
        <v>5.656223074013468</v>
      </c>
      <c r="M71" s="59">
        <f t="shared" si="6"/>
        <v>5.6783844707830893</v>
      </c>
      <c r="N71" s="64">
        <f t="shared" si="7"/>
        <v>1.2697545030145088</v>
      </c>
      <c r="O71" s="59">
        <f t="shared" si="16"/>
        <v>-3.540046884537166</v>
      </c>
      <c r="P71" s="65">
        <f t="shared" si="8"/>
        <v>116.45995311546284</v>
      </c>
      <c r="R71" s="100">
        <f t="shared" si="9"/>
        <v>-32.382242989978465</v>
      </c>
      <c r="S71" s="101">
        <f t="shared" si="10"/>
        <v>-13.070467521856974</v>
      </c>
      <c r="T71" s="102">
        <f t="shared" si="17"/>
        <v>0.84847808716549622</v>
      </c>
    </row>
    <row r="72" spans="2:20">
      <c r="B72" s="58">
        <f t="shared" si="11"/>
        <v>21</v>
      </c>
      <c r="C72" s="59">
        <f t="shared" si="2"/>
        <v>7714.375</v>
      </c>
      <c r="D72" s="60">
        <f t="shared" si="12"/>
        <v>1.6700029260780288E-2</v>
      </c>
      <c r="E72" s="61">
        <f t="shared" si="13"/>
        <v>23.436419788291882</v>
      </c>
      <c r="F72" s="62">
        <f t="shared" si="14"/>
        <v>283.30310892539359</v>
      </c>
      <c r="G72" s="63">
        <f t="shared" si="15"/>
        <v>7884.1187787645449</v>
      </c>
      <c r="H72" s="234"/>
      <c r="I72" s="235"/>
      <c r="J72" s="64">
        <f t="shared" si="3"/>
        <v>0.71236782510013397</v>
      </c>
      <c r="K72" s="64">
        <f t="shared" si="4"/>
        <v>0.40904269018524575</v>
      </c>
      <c r="L72" s="64">
        <f t="shared" si="5"/>
        <v>5.6569398569843878</v>
      </c>
      <c r="M72" s="59">
        <f t="shared" si="6"/>
        <v>5.6791194434658578</v>
      </c>
      <c r="N72" s="64">
        <f t="shared" si="7"/>
        <v>1.2707966967333681</v>
      </c>
      <c r="O72" s="59">
        <f t="shared" si="16"/>
        <v>-3.5396952094048406</v>
      </c>
      <c r="P72" s="65">
        <f t="shared" si="8"/>
        <v>131.46030479059516</v>
      </c>
      <c r="R72" s="100">
        <f t="shared" si="9"/>
        <v>-32.341526026050239</v>
      </c>
      <c r="S72" s="101">
        <f t="shared" si="10"/>
        <v>-13.056320075084741</v>
      </c>
      <c r="T72" s="102">
        <f t="shared" si="17"/>
        <v>0.8488468063339738</v>
      </c>
    </row>
    <row r="73" spans="2:20">
      <c r="B73" s="58">
        <f t="shared" si="11"/>
        <v>22</v>
      </c>
      <c r="C73" s="59">
        <f t="shared" si="2"/>
        <v>7714.416666666667</v>
      </c>
      <c r="D73" s="60">
        <f t="shared" si="12"/>
        <v>1.6700029212867899E-2</v>
      </c>
      <c r="E73" s="61">
        <f t="shared" si="13"/>
        <v>23.436419773455523</v>
      </c>
      <c r="F73" s="62">
        <f t="shared" si="14"/>
        <v>283.30311088660733</v>
      </c>
      <c r="G73" s="63">
        <f t="shared" si="15"/>
        <v>7884.1598474036055</v>
      </c>
      <c r="H73" s="234"/>
      <c r="I73" s="235"/>
      <c r="J73" s="64">
        <f t="shared" si="3"/>
        <v>0.71308457384142143</v>
      </c>
      <c r="K73" s="64">
        <f t="shared" si="4"/>
        <v>0.40904268992630244</v>
      </c>
      <c r="L73" s="64">
        <f t="shared" si="5"/>
        <v>5.6576566399553068</v>
      </c>
      <c r="M73" s="59">
        <f t="shared" si="6"/>
        <v>5.6798544042050336</v>
      </c>
      <c r="N73" s="64">
        <f t="shared" si="7"/>
        <v>1.2718382061359028</v>
      </c>
      <c r="O73" s="59">
        <f t="shared" si="16"/>
        <v>-3.5393382089090544</v>
      </c>
      <c r="P73" s="65">
        <f t="shared" si="8"/>
        <v>146.46066179109096</v>
      </c>
      <c r="R73" s="100">
        <f t="shared" si="9"/>
        <v>-32.300814387485524</v>
      </c>
      <c r="S73" s="101">
        <f t="shared" si="10"/>
        <v>-13.042166491361247</v>
      </c>
      <c r="T73" s="102">
        <f t="shared" si="17"/>
        <v>0.84921502340968402</v>
      </c>
    </row>
    <row r="74" spans="2:20">
      <c r="B74" s="58">
        <f t="shared" si="11"/>
        <v>23</v>
      </c>
      <c r="C74" s="59">
        <f t="shared" si="2"/>
        <v>7714.458333333333</v>
      </c>
      <c r="D74" s="60">
        <f t="shared" si="12"/>
        <v>1.6700029164955509E-2</v>
      </c>
      <c r="E74" s="61">
        <f t="shared" si="13"/>
        <v>23.436419758619159</v>
      </c>
      <c r="F74" s="62">
        <f t="shared" si="14"/>
        <v>283.30311284782113</v>
      </c>
      <c r="G74" s="63">
        <f t="shared" si="15"/>
        <v>7884.2009160426642</v>
      </c>
      <c r="H74" s="234"/>
      <c r="I74" s="235"/>
      <c r="J74" s="64">
        <f t="shared" si="3"/>
        <v>0.71380132258266127</v>
      </c>
      <c r="K74" s="64">
        <f t="shared" si="4"/>
        <v>0.40904268966735902</v>
      </c>
      <c r="L74" s="64">
        <f t="shared" si="5"/>
        <v>5.6583734229261946</v>
      </c>
      <c r="M74" s="59">
        <f t="shared" si="6"/>
        <v>5.6805893529911886</v>
      </c>
      <c r="N74" s="64">
        <f t="shared" si="7"/>
        <v>1.2728790306820814</v>
      </c>
      <c r="O74" s="59">
        <f t="shared" si="16"/>
        <v>-3.5389758864302601</v>
      </c>
      <c r="P74" s="65">
        <f t="shared" si="8"/>
        <v>161.46102411356975</v>
      </c>
      <c r="R74" s="100">
        <f t="shared" si="9"/>
        <v>-32.260108070905595</v>
      </c>
      <c r="S74" s="101">
        <f t="shared" si="10"/>
        <v>-13.028006779052909</v>
      </c>
      <c r="T74" s="102">
        <f>(S74-S73)*60</f>
        <v>0.8495827385002741</v>
      </c>
    </row>
    <row r="75" spans="2:20" ht="17" thickBot="1">
      <c r="B75" s="66">
        <f t="shared" si="11"/>
        <v>24</v>
      </c>
      <c r="C75" s="67">
        <f t="shared" si="2"/>
        <v>7714.5</v>
      </c>
      <c r="D75" s="68">
        <f t="shared" ref="D75" si="18">0.0167089-(0.000042/36525)*C75</f>
        <v>1.670002911704312E-2</v>
      </c>
      <c r="E75" s="69">
        <f t="shared" ref="E75" si="19">23+26/60+21/3600-(46.82/3600/36525)*C75</f>
        <v>23.436419743782796</v>
      </c>
      <c r="F75" s="70">
        <f t="shared" ref="F75" si="20">282.94+(1.7192/36525)*C75</f>
        <v>283.30311480903492</v>
      </c>
      <c r="G75" s="71">
        <f t="shared" ref="G75" si="21">280.4656+(36000.769/36525)*C75</f>
        <v>7884.2419846817247</v>
      </c>
      <c r="H75" s="238"/>
      <c r="I75" s="239"/>
      <c r="J75" s="72">
        <f t="shared" si="3"/>
        <v>0.71451807132394873</v>
      </c>
      <c r="K75" s="72">
        <f t="shared" si="4"/>
        <v>0.40904268940841565</v>
      </c>
      <c r="L75" s="72">
        <f t="shared" si="5"/>
        <v>5.6590902058971144</v>
      </c>
      <c r="M75" s="67">
        <f t="shared" si="6"/>
        <v>5.6813242898149712</v>
      </c>
      <c r="N75" s="72">
        <f t="shared" si="7"/>
        <v>1.2739191698324996</v>
      </c>
      <c r="O75" s="67">
        <f t="shared" ref="O75" si="22">DEGREES(ATAN((TAN(L75)-TAN(M75)*COS(K75))/(1+TAN(L75)*TAN(M75)*COS(K75))))</f>
        <v>-3.5386082453555585</v>
      </c>
      <c r="P75" s="73">
        <f t="shared" si="8"/>
        <v>176.46139175464444</v>
      </c>
      <c r="R75" s="109">
        <f t="shared" si="9"/>
        <v>-32.219407072919736</v>
      </c>
      <c r="S75" s="110">
        <f t="shared" si="10"/>
        <v>-13.013840946524406</v>
      </c>
      <c r="T75" s="111">
        <f>(S75-S74)*60</f>
        <v>0.84994995171019383</v>
      </c>
    </row>
    <row r="76" spans="2:20" ht="17" thickBot="1">
      <c r="B76" s="115"/>
      <c r="C76" s="116"/>
      <c r="D76" s="116"/>
      <c r="E76" s="117"/>
      <c r="F76" s="116"/>
      <c r="G76" s="116"/>
      <c r="H76" s="116"/>
      <c r="I76" s="116"/>
      <c r="J76" s="118"/>
      <c r="K76" s="119" t="s">
        <v>15</v>
      </c>
      <c r="L76" s="120">
        <v>0.5</v>
      </c>
      <c r="M76" s="121">
        <f>ABS(ROUNDDOWN(O63*4,0))</f>
        <v>14</v>
      </c>
      <c r="N76" s="122">
        <f>60*(ABS(O63*4)-ABS(ROUNDDOWN(O63*4,0)))</f>
        <v>10.240360751348092</v>
      </c>
      <c r="O76" s="124">
        <f>TIME(0,M76,N76)</f>
        <v>9.8379629629629633E-3</v>
      </c>
      <c r="P76" s="123">
        <f>L76-O76</f>
        <v>0.49016203703703703</v>
      </c>
      <c r="R76" s="112"/>
      <c r="S76" s="113" t="s">
        <v>16</v>
      </c>
      <c r="T76" s="114">
        <f>AVERAGE(T52:T74)</f>
        <v>0.84549921095716984</v>
      </c>
    </row>
    <row r="77" spans="2:20">
      <c r="C77" s="4"/>
      <c r="D77" s="5"/>
    </row>
    <row r="78" spans="2:20">
      <c r="B78" s="10"/>
    </row>
    <row r="79" spans="2:20">
      <c r="B79" s="10"/>
      <c r="C79" s="1"/>
      <c r="D79" s="3"/>
    </row>
    <row r="80" spans="2:20">
      <c r="B80" s="10"/>
      <c r="C80" s="1"/>
      <c r="D80" s="3"/>
    </row>
    <row r="81" spans="2:15">
      <c r="B81" s="10"/>
      <c r="C81" s="1"/>
      <c r="D81" s="3"/>
    </row>
    <row r="82" spans="2:15">
      <c r="B82" s="10"/>
      <c r="C82" s="1"/>
      <c r="D82" s="3"/>
      <c r="N82" s="27"/>
      <c r="O82" s="27"/>
    </row>
    <row r="83" spans="2:15">
      <c r="B83" s="10"/>
      <c r="C83" s="1"/>
      <c r="D83" s="3"/>
    </row>
    <row r="84" spans="2:15">
      <c r="B84" s="10"/>
      <c r="C84" s="1"/>
      <c r="D84" s="3"/>
    </row>
    <row r="85" spans="2:15">
      <c r="B85" s="10"/>
      <c r="C85" s="1"/>
      <c r="D85" s="3"/>
    </row>
    <row r="86" spans="2:15">
      <c r="B86" s="10"/>
      <c r="C86" s="1"/>
      <c r="D86" s="3"/>
    </row>
    <row r="87" spans="2:15">
      <c r="B87" s="10"/>
      <c r="C87" s="1"/>
      <c r="D87" s="3"/>
    </row>
    <row r="88" spans="2:15">
      <c r="B88" s="10"/>
      <c r="C88" s="1"/>
      <c r="D88" s="3"/>
    </row>
    <row r="89" spans="2:15">
      <c r="B89" s="10"/>
      <c r="C89" s="1"/>
      <c r="D89" s="3"/>
    </row>
    <row r="90" spans="2:15">
      <c r="B90" s="10"/>
      <c r="C90" s="1"/>
      <c r="D90" s="3"/>
    </row>
    <row r="91" spans="2:15">
      <c r="B91" s="10"/>
      <c r="C91" s="1"/>
      <c r="D91" s="3"/>
    </row>
    <row r="92" spans="2:15">
      <c r="B92" s="10"/>
      <c r="C92" s="1"/>
      <c r="D92" s="3"/>
    </row>
    <row r="93" spans="2:15">
      <c r="B93" s="10"/>
      <c r="C93" s="1"/>
      <c r="D93" s="3"/>
    </row>
    <row r="94" spans="2:15">
      <c r="B94" s="10"/>
      <c r="C94" s="1"/>
      <c r="D94" s="3"/>
    </row>
    <row r="95" spans="2:15">
      <c r="B95" s="10"/>
      <c r="C95" s="1"/>
      <c r="D95" s="3"/>
    </row>
    <row r="96" spans="2:15">
      <c r="B96" s="10"/>
      <c r="C96" s="1"/>
      <c r="D96" s="3"/>
    </row>
    <row r="97" spans="2:8">
      <c r="B97" s="10"/>
      <c r="C97" s="1"/>
      <c r="D97" s="3"/>
    </row>
    <row r="98" spans="2:8">
      <c r="B98" s="10"/>
      <c r="C98" s="1"/>
      <c r="D98" s="3"/>
    </row>
    <row r="99" spans="2:8">
      <c r="B99" s="10"/>
      <c r="C99" s="1"/>
      <c r="D99" s="3"/>
    </row>
    <row r="100" spans="2:8">
      <c r="B100" s="10"/>
      <c r="C100" s="1"/>
      <c r="D100" s="3"/>
    </row>
    <row r="101" spans="2:8">
      <c r="B101" s="10"/>
      <c r="C101" s="1"/>
      <c r="D101" s="3"/>
    </row>
    <row r="102" spans="2:8">
      <c r="C102" s="1"/>
      <c r="D102" s="3"/>
    </row>
    <row r="104" spans="2:8">
      <c r="D104" s="1"/>
      <c r="E104" s="1"/>
      <c r="F104" s="1"/>
      <c r="G104" s="1"/>
      <c r="H104" s="1"/>
    </row>
    <row r="108" spans="2:8">
      <c r="D108" s="1"/>
      <c r="E108" s="3"/>
    </row>
  </sheetData>
  <sheetProtection algorithmName="SHA-512" hashValue="3IJw5FfGJjW7U/ats/DJaAkGygBmOW87sqbmoCwjFvsld3jD4kXkZhs5G1knxkzXoDo4y4XGuGNo0MCZjRhOOg==" saltValue="mpPbBH1o2QQryzk3uPz2pA==" spinCount="100000" sheet="1" objects="1" scenarios="1"/>
  <mergeCells count="13">
    <mergeCell ref="B48:H48"/>
    <mergeCell ref="R48:T48"/>
    <mergeCell ref="H45:H46"/>
    <mergeCell ref="C50:D50"/>
    <mergeCell ref="D13:E13"/>
    <mergeCell ref="F13:G13"/>
    <mergeCell ref="C45:C46"/>
    <mergeCell ref="G45:G46"/>
    <mergeCell ref="F45:F46"/>
    <mergeCell ref="E45:E46"/>
    <mergeCell ref="D45:D46"/>
    <mergeCell ref="C13:C14"/>
    <mergeCell ref="E12:H12"/>
  </mergeCells>
  <pageMargins left="0.7" right="0.7" top="0.78740157499999996" bottom="0.78740157499999996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9E3C1-215C-034D-962F-10AE00DCA8A2}">
  <dimension ref="C2:H35"/>
  <sheetViews>
    <sheetView showGridLines="0" showRowColHeaders="0" topLeftCell="J1" workbookViewId="0">
      <selection activeCell="E18" sqref="E18"/>
    </sheetView>
  </sheetViews>
  <sheetFormatPr baseColWidth="10" defaultRowHeight="16"/>
  <cols>
    <col min="3" max="3" width="10.83203125" customWidth="1"/>
    <col min="8" max="8" width="8.5" customWidth="1"/>
  </cols>
  <sheetData>
    <row r="2" spans="3:8" ht="17" thickBot="1"/>
    <row r="3" spans="3:8" s="128" customFormat="1" ht="23" customHeight="1">
      <c r="C3" s="134">
        <f>'Sun Almanac'!C12</f>
        <v>43</v>
      </c>
      <c r="D3" s="131" t="s">
        <v>12</v>
      </c>
      <c r="E3" s="191">
        <f>'Sun Almanac'!E12</f>
        <v>44240</v>
      </c>
      <c r="F3" s="191"/>
      <c r="G3" s="191"/>
      <c r="H3" s="192"/>
    </row>
    <row r="4" spans="3:8" s="128" customFormat="1" ht="23" customHeight="1">
      <c r="C4" s="190" t="s">
        <v>8</v>
      </c>
      <c r="D4" s="188" t="s">
        <v>40</v>
      </c>
      <c r="E4" s="188"/>
      <c r="F4" s="189" t="s">
        <v>41</v>
      </c>
      <c r="G4" s="189"/>
      <c r="H4" s="141"/>
    </row>
    <row r="5" spans="3:8" s="128" customFormat="1" ht="23" customHeight="1">
      <c r="C5" s="190"/>
      <c r="D5" s="139" t="str">
        <f>'Sun Almanac'!D14</f>
        <v>°</v>
      </c>
      <c r="E5" s="133" t="str">
        <f>'Sun Almanac'!E14</f>
        <v xml:space="preserve"> '</v>
      </c>
      <c r="F5" s="139" t="str">
        <f>'Sun Almanac'!F14</f>
        <v>°</v>
      </c>
      <c r="G5" s="133" t="str">
        <f>'Sun Almanac'!G14</f>
        <v xml:space="preserve"> '</v>
      </c>
      <c r="H5" s="132"/>
    </row>
    <row r="6" spans="3:8" s="128" customFormat="1" ht="23" customHeight="1">
      <c r="C6" s="129">
        <f>'Sun Almanac'!C16</f>
        <v>0</v>
      </c>
      <c r="D6" s="138">
        <f>'Sun Almanac'!D16</f>
        <v>176</v>
      </c>
      <c r="E6" s="130">
        <f>'Sun Almanac'!E16</f>
        <v>27.242584159332637</v>
      </c>
      <c r="F6" s="137">
        <f>'Sun Almanac'!F16</f>
        <v>13</v>
      </c>
      <c r="G6" s="142">
        <f>'Sun Almanac'!G16</f>
        <v>21.126888595189435</v>
      </c>
      <c r="H6" s="140" t="str">
        <f>'Sun Almanac'!H16</f>
        <v>S</v>
      </c>
    </row>
    <row r="7" spans="3:8" s="128" customFormat="1" ht="23" customHeight="1">
      <c r="C7" s="129">
        <f>'Sun Almanac'!C17</f>
        <v>1</v>
      </c>
      <c r="D7" s="138">
        <f>'Sun Almanac'!D17</f>
        <v>191</v>
      </c>
      <c r="E7" s="130">
        <f>'Sun Almanac'!E17</f>
        <v>27.257252422346028</v>
      </c>
      <c r="F7" s="137">
        <f>'Sun Almanac'!F17</f>
        <v>13</v>
      </c>
      <c r="G7" s="142">
        <f>'Sun Almanac'!G17</f>
        <v>20.285511581335705</v>
      </c>
      <c r="H7" s="140" t="str">
        <f>'Sun Almanac'!H17</f>
        <v>S</v>
      </c>
    </row>
    <row r="8" spans="3:8" s="128" customFormat="1" ht="23" customHeight="1">
      <c r="C8" s="129">
        <f>'Sun Almanac'!C18</f>
        <v>2</v>
      </c>
      <c r="D8" s="138">
        <f>'Sun Almanac'!D18</f>
        <v>206</v>
      </c>
      <c r="E8" s="130">
        <f>'Sun Almanac'!E18</f>
        <v>27.272244157274486</v>
      </c>
      <c r="F8" s="137">
        <f>'Sun Almanac'!F18</f>
        <v>13</v>
      </c>
      <c r="G8" s="142">
        <f>'Sun Almanac'!G18</f>
        <v>19.443756306162854</v>
      </c>
      <c r="H8" s="140" t="str">
        <f>'Sun Almanac'!H18</f>
        <v>S</v>
      </c>
    </row>
    <row r="9" spans="3:8" s="128" customFormat="1" ht="23" customHeight="1">
      <c r="C9" s="129">
        <f>'Sun Almanac'!C19</f>
        <v>3</v>
      </c>
      <c r="D9" s="138">
        <f>'Sun Almanac'!D19</f>
        <v>221</v>
      </c>
      <c r="E9" s="130">
        <f>'Sun Almanac'!E19</f>
        <v>27.287559171393241</v>
      </c>
      <c r="F9" s="137">
        <f>'Sun Almanac'!F19</f>
        <v>13</v>
      </c>
      <c r="G9" s="142">
        <f>'Sun Almanac'!G19</f>
        <v>18.601623272069645</v>
      </c>
      <c r="H9" s="140" t="str">
        <f>'Sun Almanac'!H19</f>
        <v>S</v>
      </c>
    </row>
    <row r="10" spans="3:8" s="128" customFormat="1" ht="23" customHeight="1">
      <c r="C10" s="129">
        <f>'Sun Almanac'!C20</f>
        <v>4</v>
      </c>
      <c r="D10" s="138">
        <f>'Sun Almanac'!D20</f>
        <v>236</v>
      </c>
      <c r="E10" s="130">
        <f>'Sun Almanac'!E20</f>
        <v>27.303197271500039</v>
      </c>
      <c r="F10" s="137">
        <f>'Sun Almanac'!F20</f>
        <v>13</v>
      </c>
      <c r="G10" s="142">
        <f>'Sun Almanac'!G20</f>
        <v>17.759112981484257</v>
      </c>
      <c r="H10" s="140" t="str">
        <f>'Sun Almanac'!H20</f>
        <v>S</v>
      </c>
    </row>
    <row r="11" spans="3:8" s="128" customFormat="1" ht="23" customHeight="1">
      <c r="C11" s="129"/>
      <c r="D11" s="138"/>
      <c r="E11" s="130"/>
      <c r="F11" s="137"/>
      <c r="G11" s="142"/>
      <c r="H11" s="140"/>
    </row>
    <row r="12" spans="3:8" s="128" customFormat="1" ht="23" customHeight="1">
      <c r="C12" s="129">
        <f>'Sun Almanac'!C22</f>
        <v>5</v>
      </c>
      <c r="D12" s="138">
        <f>'Sun Almanac'!D22</f>
        <v>251</v>
      </c>
      <c r="E12" s="130">
        <f>'Sun Almanac'!E22</f>
        <v>27.319158263855456</v>
      </c>
      <c r="F12" s="137">
        <f>'Sun Almanac'!F22</f>
        <v>13</v>
      </c>
      <c r="G12" s="142">
        <f>'Sun Almanac'!G22</f>
        <v>16.916225936694929</v>
      </c>
      <c r="H12" s="140" t="str">
        <f>'Sun Almanac'!H22</f>
        <v>S</v>
      </c>
    </row>
    <row r="13" spans="3:8" s="128" customFormat="1" ht="23" customHeight="1">
      <c r="C13" s="129">
        <f>'Sun Almanac'!C23</f>
        <v>6</v>
      </c>
      <c r="D13" s="138">
        <f>'Sun Almanac'!D23</f>
        <v>266</v>
      </c>
      <c r="E13" s="130">
        <f>'Sun Almanac'!E23</f>
        <v>27.335441954176076</v>
      </c>
      <c r="F13" s="137">
        <f>'Sun Almanac'!F23</f>
        <v>13</v>
      </c>
      <c r="G13" s="142">
        <f>'Sun Almanac'!G23</f>
        <v>16.072962640072177</v>
      </c>
      <c r="H13" s="140" t="str">
        <f>'Sun Almanac'!H23</f>
        <v>S</v>
      </c>
    </row>
    <row r="14" spans="3:8" s="128" customFormat="1" ht="23" customHeight="1">
      <c r="C14" s="129">
        <f>'Sun Almanac'!C24</f>
        <v>7</v>
      </c>
      <c r="D14" s="138">
        <f>'Sun Almanac'!D24</f>
        <v>281</v>
      </c>
      <c r="E14" s="130">
        <f>'Sun Almanac'!E24</f>
        <v>27.3520481477658</v>
      </c>
      <c r="F14" s="137">
        <f>'Sun Almanac'!F24</f>
        <v>13</v>
      </c>
      <c r="G14" s="142">
        <f>'Sun Almanac'!G24</f>
        <v>15.229323593996114</v>
      </c>
      <c r="H14" s="140" t="str">
        <f>'Sun Almanac'!H24</f>
        <v>S</v>
      </c>
    </row>
    <row r="15" spans="3:8" s="128" customFormat="1" ht="23" customHeight="1">
      <c r="C15" s="129">
        <f>'Sun Almanac'!C25</f>
        <v>8</v>
      </c>
      <c r="D15" s="138">
        <f>'Sun Almanac'!D25</f>
        <v>296</v>
      </c>
      <c r="E15" s="130">
        <f>'Sun Almanac'!E25</f>
        <v>27.368976649277101</v>
      </c>
      <c r="F15" s="137">
        <f>'Sun Almanac'!F25</f>
        <v>13</v>
      </c>
      <c r="G15" s="142">
        <f>'Sun Almanac'!G25</f>
        <v>14.385309300669498</v>
      </c>
      <c r="H15" s="140" t="str">
        <f>'Sun Almanac'!H25</f>
        <v>S</v>
      </c>
    </row>
    <row r="16" spans="3:8" s="128" customFormat="1" ht="23" customHeight="1">
      <c r="C16" s="129">
        <f>'Sun Almanac'!C26</f>
        <v>9</v>
      </c>
      <c r="D16" s="138">
        <f>'Sun Almanac'!D26</f>
        <v>311</v>
      </c>
      <c r="E16" s="130">
        <f>'Sun Almanac'!E26</f>
        <v>27.386227262992406</v>
      </c>
      <c r="F16" s="137">
        <f>'Sun Almanac'!F26</f>
        <v>13</v>
      </c>
      <c r="G16" s="142">
        <f>'Sun Almanac'!G26</f>
        <v>13.540920262432579</v>
      </c>
      <c r="H16" s="140" t="str">
        <f>'Sun Almanac'!H26</f>
        <v>S</v>
      </c>
    </row>
    <row r="17" spans="3:8" s="128" customFormat="1" ht="23" customHeight="1">
      <c r="C17" s="129"/>
      <c r="D17" s="138"/>
      <c r="E17" s="130"/>
      <c r="F17" s="137"/>
      <c r="G17" s="142"/>
      <c r="H17" s="140"/>
    </row>
    <row r="18" spans="3:8" s="128" customFormat="1" ht="23" customHeight="1">
      <c r="C18" s="129">
        <f>'Sun Almanac'!C28</f>
        <v>10</v>
      </c>
      <c r="D18" s="138">
        <f>'Sun Almanac'!D28</f>
        <v>326</v>
      </c>
      <c r="E18" s="130">
        <f>'Sun Almanac'!E28</f>
        <v>27.403799792655263</v>
      </c>
      <c r="F18" s="137">
        <f>'Sun Almanac'!F28</f>
        <v>13</v>
      </c>
      <c r="G18" s="142">
        <f>'Sun Almanac'!G28</f>
        <v>12.696156981557927</v>
      </c>
      <c r="H18" s="140" t="str">
        <f>'Sun Almanac'!H28</f>
        <v>S</v>
      </c>
    </row>
    <row r="19" spans="3:8" s="128" customFormat="1" ht="23" customHeight="1">
      <c r="C19" s="129">
        <f>'Sun Almanac'!C29</f>
        <v>11</v>
      </c>
      <c r="D19" s="138">
        <f>'Sun Almanac'!D29</f>
        <v>341</v>
      </c>
      <c r="E19" s="130">
        <f>'Sun Almanac'!E29</f>
        <v>27.421694041480578</v>
      </c>
      <c r="F19" s="137">
        <f>'Sun Almanac'!F29</f>
        <v>13</v>
      </c>
      <c r="G19" s="142">
        <f>'Sun Almanac'!G29</f>
        <v>11.851019960324187</v>
      </c>
      <c r="H19" s="140" t="str">
        <f>'Sun Almanac'!H29</f>
        <v>S</v>
      </c>
    </row>
    <row r="20" spans="3:8" s="128" customFormat="1" ht="23" customHeight="1">
      <c r="C20" s="129">
        <f>'Sun Almanac'!C30</f>
        <v>12</v>
      </c>
      <c r="D20" s="138">
        <f>'Sun Almanac'!D30</f>
        <v>356</v>
      </c>
      <c r="E20" s="130">
        <f>'Sun Almanac'!E30</f>
        <v>27.439909812161432</v>
      </c>
      <c r="F20" s="137">
        <f>'Sun Almanac'!F30</f>
        <v>13</v>
      </c>
      <c r="G20" s="142">
        <f>'Sun Almanac'!G30</f>
        <v>11.005509700872942</v>
      </c>
      <c r="H20" s="140" t="str">
        <f>'Sun Almanac'!H30</f>
        <v>S</v>
      </c>
    </row>
    <row r="21" spans="3:8" s="128" customFormat="1" ht="23" customHeight="1">
      <c r="C21" s="129">
        <f>'Sun Almanac'!C31</f>
        <v>13</v>
      </c>
      <c r="D21" s="138">
        <f>'Sun Almanac'!D31</f>
        <v>11</v>
      </c>
      <c r="E21" s="130">
        <f>'Sun Almanac'!E31</f>
        <v>27.458446906967993</v>
      </c>
      <c r="F21" s="137">
        <f>'Sun Almanac'!F31</f>
        <v>13</v>
      </c>
      <c r="G21" s="142">
        <f>'Sun Almanac'!G31</f>
        <v>10.159626705459708</v>
      </c>
      <c r="H21" s="140" t="str">
        <f>'Sun Almanac'!H31</f>
        <v>S</v>
      </c>
    </row>
    <row r="22" spans="3:8" s="128" customFormat="1" ht="23" customHeight="1">
      <c r="C22" s="129">
        <f>'Sun Almanac'!C32</f>
        <v>14</v>
      </c>
      <c r="D22" s="138">
        <f>'Sun Almanac'!D32</f>
        <v>26</v>
      </c>
      <c r="E22" s="130">
        <f>'Sun Almanac'!E32</f>
        <v>27.477305127568883</v>
      </c>
      <c r="F22" s="137">
        <f>'Sun Almanac'!F32</f>
        <v>13</v>
      </c>
      <c r="G22" s="142">
        <f>'Sun Almanac'!G32</f>
        <v>9.3133714762898023</v>
      </c>
      <c r="H22" s="140" t="str">
        <f>'Sun Almanac'!H32</f>
        <v>S</v>
      </c>
    </row>
    <row r="23" spans="3:8" s="128" customFormat="1" ht="23" customHeight="1">
      <c r="C23" s="129"/>
      <c r="D23" s="138"/>
      <c r="E23" s="130"/>
      <c r="F23" s="137"/>
      <c r="G23" s="142"/>
      <c r="H23" s="140"/>
    </row>
    <row r="24" spans="3:8" s="128" customFormat="1" ht="23" customHeight="1">
      <c r="C24" s="129">
        <f>'Sun Almanac'!C34</f>
        <v>15</v>
      </c>
      <c r="D24" s="138">
        <f>'Sun Almanac'!D34</f>
        <v>41</v>
      </c>
      <c r="E24" s="130">
        <f>'Sun Almanac'!E34</f>
        <v>27.496484275286122</v>
      </c>
      <c r="F24" s="137">
        <f>'Sun Almanac'!F34</f>
        <v>13</v>
      </c>
      <c r="G24" s="142">
        <f>'Sun Almanac'!G34</f>
        <v>8.4667445154840237</v>
      </c>
      <c r="H24" s="140" t="str">
        <f>'Sun Almanac'!H34</f>
        <v>S</v>
      </c>
    </row>
    <row r="25" spans="3:8" s="128" customFormat="1" ht="23" customHeight="1">
      <c r="C25" s="129">
        <f>'Sun Almanac'!C35</f>
        <v>16</v>
      </c>
      <c r="D25" s="138">
        <f>'Sun Almanac'!D35</f>
        <v>56</v>
      </c>
      <c r="E25" s="130">
        <f>'Sun Almanac'!E35</f>
        <v>27.515984150741701</v>
      </c>
      <c r="F25" s="137">
        <f>'Sun Almanac'!F35</f>
        <v>13</v>
      </c>
      <c r="G25" s="142">
        <f>'Sun Almanac'!G35</f>
        <v>7.6197463251861919</v>
      </c>
      <c r="H25" s="140" t="str">
        <f>'Sun Almanac'!H35</f>
        <v>S</v>
      </c>
    </row>
    <row r="26" spans="3:8" s="128" customFormat="1" ht="23" customHeight="1">
      <c r="C26" s="129">
        <f>'Sun Almanac'!C36</f>
        <v>17</v>
      </c>
      <c r="D26" s="138">
        <f>'Sun Almanac'!D36</f>
        <v>71</v>
      </c>
      <c r="E26" s="130">
        <f>'Sun Almanac'!E36</f>
        <v>27.535804554248955</v>
      </c>
      <c r="F26" s="137">
        <f>'Sun Almanac'!F36</f>
        <v>13</v>
      </c>
      <c r="G26" s="142">
        <f>'Sun Almanac'!G36</f>
        <v>6.7723774075802012</v>
      </c>
      <c r="H26" s="140" t="str">
        <f>'Sun Almanac'!H36</f>
        <v>S</v>
      </c>
    </row>
    <row r="27" spans="3:8" s="128" customFormat="1" ht="23" customHeight="1">
      <c r="C27" s="129">
        <f>'Sun Almanac'!C37</f>
        <v>18</v>
      </c>
      <c r="D27" s="138">
        <f>'Sun Almanac'!D37</f>
        <v>86</v>
      </c>
      <c r="E27" s="130">
        <f>'Sun Almanac'!E37</f>
        <v>27.555945285493237</v>
      </c>
      <c r="F27" s="137">
        <f>'Sun Almanac'!F37</f>
        <v>13</v>
      </c>
      <c r="G27" s="142">
        <f>'Sun Almanac'!G37</f>
        <v>5.9246382646722751</v>
      </c>
      <c r="H27" s="140" t="str">
        <f>'Sun Almanac'!H37</f>
        <v>S</v>
      </c>
    </row>
    <row r="28" spans="3:8" s="128" customFormat="1" ht="23" customHeight="1">
      <c r="C28" s="129">
        <f>'Sun Almanac'!C38</f>
        <v>19</v>
      </c>
      <c r="D28" s="138">
        <f>'Sun Almanac'!D38</f>
        <v>101</v>
      </c>
      <c r="E28" s="130">
        <f>'Sun Almanac'!E38</f>
        <v>27.576406143739121</v>
      </c>
      <c r="F28" s="137">
        <f>'Sun Almanac'!F38</f>
        <v>13</v>
      </c>
      <c r="G28" s="142">
        <f>'Sun Almanac'!G38</f>
        <v>5.0765293985839577</v>
      </c>
      <c r="H28" s="140" t="str">
        <f>'Sun Almanac'!H38</f>
        <v>S</v>
      </c>
    </row>
    <row r="29" spans="3:8" s="128" customFormat="1" ht="23" customHeight="1">
      <c r="C29" s="129"/>
      <c r="D29" s="138"/>
      <c r="E29" s="130"/>
      <c r="F29" s="137"/>
      <c r="G29" s="142"/>
      <c r="H29" s="140"/>
    </row>
    <row r="30" spans="3:8" s="128" customFormat="1" ht="23" customHeight="1">
      <c r="C30" s="129">
        <f>'Sun Almanac'!C40</f>
        <v>20</v>
      </c>
      <c r="D30" s="138">
        <f>'Sun Almanac'!D40</f>
        <v>116</v>
      </c>
      <c r="E30" s="130">
        <f>'Sun Almanac'!E40</f>
        <v>27.597186927770281</v>
      </c>
      <c r="F30" s="137">
        <f>'Sun Almanac'!F40</f>
        <v>13</v>
      </c>
      <c r="G30" s="142">
        <f>'Sun Almanac'!G40</f>
        <v>4.2280513114184615</v>
      </c>
      <c r="H30" s="140" t="str">
        <f>'Sun Almanac'!H40</f>
        <v>S</v>
      </c>
    </row>
    <row r="31" spans="3:8" s="128" customFormat="1" ht="23" customHeight="1">
      <c r="C31" s="129">
        <f>'Sun Almanac'!C41</f>
        <v>21</v>
      </c>
      <c r="D31" s="138">
        <f>'Sun Almanac'!D41</f>
        <v>131</v>
      </c>
      <c r="E31" s="130">
        <f>'Sun Almanac'!E41</f>
        <v>27.61828743570959</v>
      </c>
      <c r="F31" s="137">
        <f>'Sun Almanac'!F41</f>
        <v>13</v>
      </c>
      <c r="G31" s="142">
        <f>'Sun Almanac'!G41</f>
        <v>3.3792045050844877</v>
      </c>
      <c r="H31" s="140" t="str">
        <f>'Sun Almanac'!H41</f>
        <v>S</v>
      </c>
    </row>
    <row r="32" spans="3:8" s="128" customFormat="1" ht="23" customHeight="1">
      <c r="C32" s="129">
        <f>'Sun Almanac'!C42</f>
        <v>22</v>
      </c>
      <c r="D32" s="138">
        <f>'Sun Almanac'!D42</f>
        <v>146</v>
      </c>
      <c r="E32" s="130">
        <f>'Sun Almanac'!E42</f>
        <v>27.639707465457377</v>
      </c>
      <c r="F32" s="137">
        <f>'Sun Almanac'!F42</f>
        <v>13</v>
      </c>
      <c r="G32" s="142">
        <f>'Sun Almanac'!G42</f>
        <v>2.5299894816748036</v>
      </c>
      <c r="H32" s="140" t="str">
        <f>'Sun Almanac'!H42</f>
        <v>S</v>
      </c>
    </row>
    <row r="33" spans="3:8" s="128" customFormat="1" ht="23" customHeight="1">
      <c r="C33" s="129">
        <f>'Sun Almanac'!C43</f>
        <v>23</v>
      </c>
      <c r="D33" s="138">
        <f>'Sun Almanac'!D43</f>
        <v>161</v>
      </c>
      <c r="E33" s="130">
        <f>'Sun Almanac'!E43</f>
        <v>27.661446814184956</v>
      </c>
      <c r="F33" s="137">
        <f>'Sun Almanac'!F43</f>
        <v>13</v>
      </c>
      <c r="G33" s="142">
        <f>'Sun Almanac'!G43</f>
        <v>1.6804067431745295</v>
      </c>
      <c r="H33" s="140" t="str">
        <f>'Sun Almanac'!H43</f>
        <v>S</v>
      </c>
    </row>
    <row r="34" spans="3:8" s="128" customFormat="1" ht="23" customHeight="1">
      <c r="C34" s="135"/>
      <c r="D34" s="199" t="s">
        <v>4</v>
      </c>
      <c r="E34" s="197">
        <f>'Sun Almanac'!E45</f>
        <v>0.49016203703703703</v>
      </c>
      <c r="F34" s="195" t="s">
        <v>11</v>
      </c>
      <c r="G34" s="193">
        <f>'Sun Almanac'!G45</f>
        <v>0.84549921095716984</v>
      </c>
      <c r="H34" s="145"/>
    </row>
    <row r="35" spans="3:8" ht="23" customHeight="1" thickBot="1">
      <c r="C35" s="136"/>
      <c r="D35" s="200"/>
      <c r="E35" s="198"/>
      <c r="F35" s="196"/>
      <c r="G35" s="194"/>
      <c r="H35" s="146"/>
    </row>
  </sheetData>
  <sheetProtection algorithmName="SHA-512" hashValue="xgArGsAdtyqKYKn1NpSYPeKYCsWDXRxM3/nIAhJ/K8HJ06PQ6oyf4obI9YC2QwPUNvTMZ2Vgujmn7eEatKJJUg==" saltValue="vFh9HmhyYw2ODzcB+s9itg==" spinCount="100000" sheet="1" objects="1" scenarios="1"/>
  <mergeCells count="8">
    <mergeCell ref="D4:E4"/>
    <mergeCell ref="F4:G4"/>
    <mergeCell ref="C4:C5"/>
    <mergeCell ref="E3:H3"/>
    <mergeCell ref="G34:G35"/>
    <mergeCell ref="F34:F35"/>
    <mergeCell ref="E34:E35"/>
    <mergeCell ref="D34:D35"/>
  </mergeCells>
  <pageMargins left="0.70866141732283472" right="0.70866141732283472" top="0.78740157480314965" bottom="0.78740157480314965" header="0.31496062992125984" footer="0.31496062992125984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Sun Almanac</vt:lpstr>
      <vt:lpstr>Druckseite</vt:lpstr>
      <vt:lpstr>Druckseite!Druckbereich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Hoffrichter</dc:creator>
  <cp:lastModifiedBy>Helmut Hoffrichter</cp:lastModifiedBy>
  <dcterms:created xsi:type="dcterms:W3CDTF">2021-01-28T13:46:21Z</dcterms:created>
  <dcterms:modified xsi:type="dcterms:W3CDTF">2021-02-14T14:05:37Z</dcterms:modified>
</cp:coreProperties>
</file>