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helmuthoffrichter/Desktop/EPUBLI/"/>
    </mc:Choice>
  </mc:AlternateContent>
  <xr:revisionPtr revIDLastSave="0" documentId="8_{ADAB1556-108F-EA4E-8F9F-48BBDC704E24}" xr6:coauthVersionLast="36" xr6:coauthVersionMax="36" xr10:uidLastSave="{00000000-0000-0000-0000-000000000000}"/>
  <bookViews>
    <workbookView xWindow="22300" yWindow="4160" windowWidth="26520" windowHeight="18020" tabRatio="500" xr2:uid="{00000000-000D-0000-FFFF-FFFF00000000}"/>
  </bookViews>
  <sheets>
    <sheet name="Tabelle1" sheetId="3" r:id="rId1"/>
    <sheet name="Grafik" sheetId="2" r:id="rId2"/>
  </sheets>
  <definedNames>
    <definedName name="_A1">Tabelle1!$K$18</definedName>
    <definedName name="_A2">Tabelle1!$K$19</definedName>
    <definedName name="_A3">Tabelle1!$K$20</definedName>
    <definedName name="_A4">Tabelle1!$K$21</definedName>
    <definedName name="_B1">Tabelle1!$K$23</definedName>
    <definedName name="_B2">Tabelle1!$K$24</definedName>
    <definedName name="_B3">Tabelle1!$K$25</definedName>
    <definedName name="_B4">Tabelle1!$K$26</definedName>
    <definedName name="_T1">Tabelle1!$N$18</definedName>
    <definedName name="_T2">Tabelle1!$O$18</definedName>
    <definedName name="Az_°">Tabelle1!$U$30</definedName>
    <definedName name="Az°">Tabelle1!$U$18</definedName>
    <definedName name="B">Grafik!$M$12</definedName>
    <definedName name="B_">Grafik!$M$13</definedName>
    <definedName name="cmg">Tabelle1!$H$17</definedName>
    <definedName name="d">Tabelle1!$N$32</definedName>
    <definedName name="d_">Tabelle1!$O$32</definedName>
    <definedName name="dat">Tabelle1!$G$12</definedName>
    <definedName name="dat_">Tabelle1!$G$20</definedName>
    <definedName name="dmg">Tabelle1!$C$17</definedName>
    <definedName name="F">Tabelle1!$V$10</definedName>
    <definedName name="false">Tabelle1!$U$34</definedName>
    <definedName name="G">Tabelle1!$V$13</definedName>
    <definedName name="grt">Tabelle1!$N$31</definedName>
    <definedName name="grt_">Tabelle1!$O$31</definedName>
    <definedName name="Gs">Tabelle1!$V$21</definedName>
    <definedName name="h">Tabelle1!$L$13</definedName>
    <definedName name="h_">Tabelle1!$N$13</definedName>
    <definedName name="h_°">Tabelle1!$N$11</definedName>
    <definedName name="h°">Tabelle1!$L$11</definedName>
    <definedName name="hs">Tabelle1!$V$19</definedName>
    <definedName name="j">Tabelle1!$V$15</definedName>
    <definedName name="js">Tabelle1!$V$23</definedName>
    <definedName name="K">Tabelle1!$V$7</definedName>
    <definedName name="lat">Tabelle1!$U$23</definedName>
    <definedName name="lat°">Tabelle1!$U$15</definedName>
    <definedName name="LHA">Tabelle1!$V$17</definedName>
    <definedName name="LHA_">Tabelle1!$V$29</definedName>
    <definedName name="LHA°">Tabelle1!$U$17</definedName>
    <definedName name="LHA°_">Tabelle1!$U$29</definedName>
    <definedName name="lon">Tabelle1!$U$25</definedName>
    <definedName name="ls">Tabelle1!$V$25</definedName>
    <definedName name="ot">Tabelle1!$G$13</definedName>
    <definedName name="ot_">Tabelle1!$G$21</definedName>
    <definedName name="P">Tabelle1!$T$7</definedName>
    <definedName name="q">Tabelle1!$V$9</definedName>
    <definedName name="ref">Tabelle1!$K$28</definedName>
    <definedName name="tau">Tabelle1!$V$14</definedName>
    <definedName name="taus">Tabelle1!$V$22</definedName>
    <definedName name="TG">Tabelle1!$F$20</definedName>
    <definedName name="V">Tabelle1!$V$11</definedName>
    <definedName name="var">Tabelle1!$U$6</definedName>
    <definedName name="vb">Grafik!$O$9</definedName>
    <definedName name="vl">Grafik!$O$10</definedName>
    <definedName name="W">Tabelle1!$V$12</definedName>
    <definedName name="Ws">Tabelle1!$V$20</definedName>
    <definedName name="z_">Tabelle1!$V$30</definedName>
  </definedNames>
  <calcPr calcId="181029"/>
  <customWorkbookViews>
    <customWorkbookView name="Microsoft Office-Anwender - Persönliche Ansicht" guid="{C5C8DA39-C784-9F41-A13A-E8B47EB72839}" mergeInterval="0" personalView="1" windowWidth="1920" windowHeight="894" tabRatio="500" activeSheetId="1"/>
  </customWorkbookViews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33" i="3" l="1"/>
  <c r="C9" i="3" l="1"/>
  <c r="N18" i="3" l="1"/>
  <c r="N24" i="3" s="1"/>
  <c r="H5" i="3" l="1"/>
  <c r="L7" i="3"/>
  <c r="L8" i="3" s="1"/>
  <c r="N7" i="3"/>
  <c r="N8" i="3" s="1"/>
  <c r="Q8" i="3"/>
  <c r="Q9" i="3" s="1"/>
  <c r="L10" i="3"/>
  <c r="N10" i="3"/>
  <c r="F13" i="3"/>
  <c r="H15" i="3"/>
  <c r="K18" i="3"/>
  <c r="N19" i="3" s="1"/>
  <c r="N20" i="3" s="1"/>
  <c r="K19" i="3"/>
  <c r="N21" i="3" s="1"/>
  <c r="N22" i="3" s="1"/>
  <c r="G20" i="3"/>
  <c r="K20" i="3"/>
  <c r="R20" i="3"/>
  <c r="F21" i="3"/>
  <c r="K21" i="3"/>
  <c r="N27" i="3" s="1"/>
  <c r="N28" i="3" s="1"/>
  <c r="H23" i="3"/>
  <c r="C29" i="3"/>
  <c r="E29" i="3"/>
  <c r="N23" i="3" l="1"/>
  <c r="N25" i="3" s="1"/>
  <c r="N26" i="3" s="1"/>
  <c r="N29" i="3" s="1"/>
  <c r="N30" i="3" s="1"/>
  <c r="N31" i="3" s="1"/>
  <c r="U6" i="3"/>
  <c r="O18" i="3"/>
  <c r="O19" i="3" s="1"/>
  <c r="O20" i="3" s="1"/>
  <c r="Q10" i="3"/>
  <c r="Q11" i="3" s="1"/>
  <c r="Q12" i="3" s="1"/>
  <c r="Q13" i="3" s="1"/>
  <c r="Q14" i="3" s="1"/>
  <c r="Q15" i="3" s="1"/>
  <c r="Q16" i="3" s="1"/>
  <c r="Q17" i="3" s="1"/>
  <c r="Q18" i="3" s="1"/>
  <c r="N9" i="3"/>
  <c r="N11" i="3" s="1"/>
  <c r="V7" i="3"/>
  <c r="M11" i="2"/>
  <c r="M10" i="2"/>
  <c r="M9" i="2"/>
  <c r="O9" i="2" s="1"/>
  <c r="M8" i="2"/>
  <c r="M7" i="2"/>
  <c r="O24" i="3" l="1"/>
  <c r="O21" i="3"/>
  <c r="O22" i="3" s="1"/>
  <c r="O23" i="3" s="1"/>
  <c r="O27" i="3"/>
  <c r="O28" i="3" s="1"/>
  <c r="L9" i="3"/>
  <c r="L11" i="3" s="1"/>
  <c r="N12" i="3"/>
  <c r="E34" i="3" s="1"/>
  <c r="N13" i="3"/>
  <c r="O25" i="3" l="1"/>
  <c r="O26" i="3" s="1"/>
  <c r="O29" i="3" s="1"/>
  <c r="O30" i="3" s="1"/>
  <c r="O31" i="3" s="1"/>
  <c r="N32" i="3"/>
  <c r="T7" i="3" s="1"/>
  <c r="N33" i="3"/>
  <c r="O12" i="3"/>
  <c r="G34" i="3" s="1"/>
  <c r="L12" i="3"/>
  <c r="C34" i="3" s="1"/>
  <c r="L13" i="3"/>
  <c r="C30" i="3" l="1"/>
  <c r="D30" i="3" s="1"/>
  <c r="O33" i="3"/>
  <c r="O32" i="3"/>
  <c r="O34" i="3" s="1"/>
  <c r="N34" i="3"/>
  <c r="M12" i="3"/>
  <c r="D34" i="3" s="1"/>
  <c r="V9" i="3"/>
  <c r="U9" i="3" s="1"/>
  <c r="C31" i="3" l="1"/>
  <c r="D31" i="3" s="1"/>
  <c r="V10" i="3"/>
  <c r="V11" i="3" s="1"/>
  <c r="V12" i="3" s="1"/>
  <c r="E31" i="3"/>
  <c r="G31" i="3" s="1"/>
  <c r="E30" i="3"/>
  <c r="G30" i="3" s="1"/>
  <c r="U10" i="3" l="1"/>
  <c r="U11" i="3"/>
  <c r="U12" i="3"/>
  <c r="V13" i="3" l="1"/>
  <c r="U13" i="3" l="1"/>
  <c r="V14" i="3"/>
  <c r="V15" i="3" l="1"/>
  <c r="V16" i="3"/>
  <c r="V17" i="3" s="1"/>
  <c r="U14" i="3"/>
  <c r="U17" i="3" l="1"/>
  <c r="V18" i="3"/>
  <c r="U15" i="3"/>
  <c r="U16" i="3"/>
  <c r="V19" i="3" l="1"/>
  <c r="U18" i="3"/>
  <c r="C33" i="3" s="1"/>
  <c r="C32" i="3"/>
  <c r="D32" i="3" s="1"/>
  <c r="C26" i="3"/>
  <c r="M12" i="2"/>
  <c r="U19" i="3" l="1"/>
  <c r="V20" i="3"/>
  <c r="U20" i="3" s="1"/>
  <c r="V21" i="3" l="1"/>
  <c r="U21" i="3" l="1"/>
  <c r="V22" i="3"/>
  <c r="V23" i="3" l="1"/>
  <c r="U22" i="3"/>
  <c r="V24" i="3"/>
  <c r="V29" i="3" l="1"/>
  <c r="U29" i="3" s="1"/>
  <c r="V25" i="3"/>
  <c r="U24" i="3"/>
  <c r="V30" i="3"/>
  <c r="U23" i="3"/>
  <c r="U25" i="3" l="1"/>
  <c r="F25" i="3" s="1"/>
  <c r="G25" i="3" s="1"/>
  <c r="U30" i="3"/>
  <c r="E33" i="3" s="1"/>
  <c r="M13" i="2"/>
  <c r="C25" i="3"/>
  <c r="D25" i="3" s="1"/>
  <c r="E25" i="3"/>
  <c r="J38" i="2"/>
  <c r="J60" i="2"/>
  <c r="J59" i="2" s="1"/>
  <c r="O10" i="2"/>
  <c r="R60" i="2" l="1"/>
  <c r="H25" i="3"/>
  <c r="G33" i="3"/>
  <c r="E32" i="3"/>
  <c r="G32" i="3" s="1"/>
  <c r="R59" i="2"/>
  <c r="J39" i="2"/>
  <c r="K38" i="2"/>
  <c r="M38" i="2" s="1"/>
  <c r="P38" i="2" s="1"/>
  <c r="N38" i="2" l="1"/>
  <c r="Q38" i="2" s="1"/>
  <c r="L38" i="2"/>
  <c r="O38" i="2" s="1"/>
  <c r="J36" i="2"/>
  <c r="K37" i="2"/>
  <c r="J40" i="2"/>
  <c r="K39" i="2"/>
  <c r="L39" i="2" l="1"/>
  <c r="O39" i="2" s="1"/>
  <c r="N39" i="2"/>
  <c r="Q39" i="2" s="1"/>
  <c r="M39" i="2"/>
  <c r="P39" i="2" s="1"/>
  <c r="J41" i="2"/>
  <c r="K40" i="2"/>
  <c r="N37" i="2"/>
  <c r="Q37" i="2" s="1"/>
  <c r="L37" i="2"/>
  <c r="O37" i="2" s="1"/>
  <c r="M37" i="2"/>
  <c r="P37" i="2" s="1"/>
  <c r="K36" i="2"/>
  <c r="J35" i="2"/>
  <c r="J34" i="2" l="1"/>
  <c r="K35" i="2"/>
  <c r="L36" i="2"/>
  <c r="O36" i="2" s="1"/>
  <c r="N36" i="2"/>
  <c r="Q36" i="2" s="1"/>
  <c r="M36" i="2"/>
  <c r="P36" i="2" s="1"/>
  <c r="L40" i="2"/>
  <c r="O40" i="2" s="1"/>
  <c r="N40" i="2"/>
  <c r="Q40" i="2" s="1"/>
  <c r="M40" i="2"/>
  <c r="P40" i="2" s="1"/>
  <c r="J42" i="2"/>
  <c r="K41" i="2"/>
  <c r="M41" i="2" l="1"/>
  <c r="P41" i="2" s="1"/>
  <c r="L41" i="2"/>
  <c r="O41" i="2" s="1"/>
  <c r="N41" i="2"/>
  <c r="Q41" i="2" s="1"/>
  <c r="K42" i="2"/>
  <c r="J43" i="2"/>
  <c r="M35" i="2"/>
  <c r="P35" i="2" s="1"/>
  <c r="L35" i="2"/>
  <c r="O35" i="2" s="1"/>
  <c r="N35" i="2"/>
  <c r="Q35" i="2" s="1"/>
  <c r="J33" i="2"/>
  <c r="K34" i="2"/>
  <c r="N34" i="2" l="1"/>
  <c r="Q34" i="2" s="1"/>
  <c r="L34" i="2"/>
  <c r="O34" i="2" s="1"/>
  <c r="M34" i="2"/>
  <c r="P34" i="2" s="1"/>
  <c r="J32" i="2"/>
  <c r="K33" i="2"/>
  <c r="J44" i="2"/>
  <c r="K43" i="2"/>
  <c r="N42" i="2"/>
  <c r="Q42" i="2" s="1"/>
  <c r="L42" i="2"/>
  <c r="O42" i="2" s="1"/>
  <c r="M42" i="2"/>
  <c r="P42" i="2" s="1"/>
  <c r="L43" i="2" l="1"/>
  <c r="O43" i="2" s="1"/>
  <c r="N43" i="2"/>
  <c r="Q43" i="2" s="1"/>
  <c r="M43" i="2"/>
  <c r="P43" i="2" s="1"/>
  <c r="K44" i="2"/>
  <c r="J45" i="2"/>
  <c r="L33" i="2"/>
  <c r="O33" i="2" s="1"/>
  <c r="N33" i="2"/>
  <c r="Q33" i="2" s="1"/>
  <c r="M33" i="2"/>
  <c r="P33" i="2" s="1"/>
  <c r="J31" i="2"/>
  <c r="K32" i="2"/>
  <c r="N32" i="2" l="1"/>
  <c r="Q32" i="2" s="1"/>
  <c r="L32" i="2"/>
  <c r="O32" i="2" s="1"/>
  <c r="M32" i="2"/>
  <c r="P32" i="2" s="1"/>
  <c r="J30" i="2"/>
  <c r="K31" i="2"/>
  <c r="J46" i="2"/>
  <c r="K45" i="2"/>
  <c r="N44" i="2"/>
  <c r="Q44" i="2" s="1"/>
  <c r="L44" i="2"/>
  <c r="O44" i="2" s="1"/>
  <c r="M44" i="2"/>
  <c r="P44" i="2" s="1"/>
  <c r="L45" i="2" l="1"/>
  <c r="O45" i="2" s="1"/>
  <c r="N45" i="2"/>
  <c r="Q45" i="2" s="1"/>
  <c r="M45" i="2"/>
  <c r="P45" i="2" s="1"/>
  <c r="K46" i="2"/>
  <c r="J47" i="2"/>
  <c r="N31" i="2"/>
  <c r="Q31" i="2" s="1"/>
  <c r="L31" i="2"/>
  <c r="O31" i="2" s="1"/>
  <c r="M31" i="2"/>
  <c r="P31" i="2" s="1"/>
  <c r="J29" i="2"/>
  <c r="K30" i="2"/>
  <c r="N30" i="2" l="1"/>
  <c r="Q30" i="2" s="1"/>
  <c r="L30" i="2"/>
  <c r="O30" i="2" s="1"/>
  <c r="M30" i="2"/>
  <c r="P30" i="2" s="1"/>
  <c r="K29" i="2"/>
  <c r="J28" i="2"/>
  <c r="K47" i="2"/>
  <c r="J48" i="2"/>
  <c r="L46" i="2"/>
  <c r="O46" i="2" s="1"/>
  <c r="N46" i="2"/>
  <c r="Q46" i="2" s="1"/>
  <c r="M46" i="2"/>
  <c r="P46" i="2" s="1"/>
  <c r="J49" i="2" l="1"/>
  <c r="K48" i="2"/>
  <c r="N47" i="2"/>
  <c r="Q47" i="2" s="1"/>
  <c r="L47" i="2"/>
  <c r="O47" i="2" s="1"/>
  <c r="M47" i="2"/>
  <c r="P47" i="2" s="1"/>
  <c r="J27" i="2"/>
  <c r="K28" i="2"/>
  <c r="L29" i="2"/>
  <c r="O29" i="2" s="1"/>
  <c r="N29" i="2"/>
  <c r="Q29" i="2" s="1"/>
  <c r="M29" i="2"/>
  <c r="P29" i="2" s="1"/>
  <c r="K27" i="2" l="1"/>
  <c r="J26" i="2"/>
  <c r="L28" i="2"/>
  <c r="O28" i="2" s="1"/>
  <c r="N28" i="2"/>
  <c r="Q28" i="2" s="1"/>
  <c r="M28" i="2"/>
  <c r="P28" i="2" s="1"/>
  <c r="L48" i="2"/>
  <c r="O48" i="2" s="1"/>
  <c r="N48" i="2"/>
  <c r="Q48" i="2" s="1"/>
  <c r="M48" i="2"/>
  <c r="P48" i="2" s="1"/>
  <c r="K49" i="2"/>
  <c r="J50" i="2"/>
  <c r="J51" i="2" l="1"/>
  <c r="K50" i="2"/>
  <c r="L49" i="2"/>
  <c r="O49" i="2" s="1"/>
  <c r="N49" i="2"/>
  <c r="Q49" i="2" s="1"/>
  <c r="M49" i="2"/>
  <c r="P49" i="2" s="1"/>
  <c r="K26" i="2"/>
  <c r="J25" i="2"/>
  <c r="L27" i="2"/>
  <c r="O27" i="2" s="1"/>
  <c r="N27" i="2"/>
  <c r="Q27" i="2" s="1"/>
  <c r="M27" i="2"/>
  <c r="P27" i="2" s="1"/>
  <c r="K25" i="2" l="1"/>
  <c r="J24" i="2"/>
  <c r="N26" i="2"/>
  <c r="Q26" i="2" s="1"/>
  <c r="L26" i="2"/>
  <c r="O26" i="2" s="1"/>
  <c r="M26" i="2"/>
  <c r="P26" i="2" s="1"/>
  <c r="N50" i="2"/>
  <c r="Q50" i="2" s="1"/>
  <c r="L50" i="2"/>
  <c r="O50" i="2" s="1"/>
  <c r="M50" i="2"/>
  <c r="P50" i="2" s="1"/>
  <c r="J52" i="2"/>
  <c r="K51" i="2"/>
  <c r="K52" i="2" l="1"/>
  <c r="J53" i="2"/>
  <c r="L51" i="2"/>
  <c r="O51" i="2" s="1"/>
  <c r="N51" i="2"/>
  <c r="Q51" i="2" s="1"/>
  <c r="M51" i="2"/>
  <c r="P51" i="2" s="1"/>
  <c r="J23" i="2"/>
  <c r="K24" i="2"/>
  <c r="L25" i="2"/>
  <c r="O25" i="2" s="1"/>
  <c r="N25" i="2"/>
  <c r="Q25" i="2" s="1"/>
  <c r="M25" i="2"/>
  <c r="P25" i="2" s="1"/>
  <c r="L24" i="2" l="1"/>
  <c r="O24" i="2" s="1"/>
  <c r="N24" i="2"/>
  <c r="Q24" i="2" s="1"/>
  <c r="M24" i="2"/>
  <c r="P24" i="2" s="1"/>
  <c r="K23" i="2"/>
  <c r="J22" i="2"/>
  <c r="K53" i="2"/>
  <c r="J54" i="2"/>
  <c r="L52" i="2"/>
  <c r="O52" i="2" s="1"/>
  <c r="N52" i="2"/>
  <c r="Q52" i="2" s="1"/>
  <c r="M52" i="2"/>
  <c r="P52" i="2" s="1"/>
  <c r="J55" i="2" l="1"/>
  <c r="K54" i="2"/>
  <c r="N53" i="2"/>
  <c r="Q53" i="2" s="1"/>
  <c r="L53" i="2"/>
  <c r="O53" i="2" s="1"/>
  <c r="M53" i="2"/>
  <c r="P53" i="2" s="1"/>
  <c r="K22" i="2"/>
  <c r="J21" i="2"/>
  <c r="L23" i="2"/>
  <c r="O23" i="2" s="1"/>
  <c r="N23" i="2"/>
  <c r="Q23" i="2" s="1"/>
  <c r="M23" i="2"/>
  <c r="P23" i="2" s="1"/>
  <c r="J20" i="2" l="1"/>
  <c r="K21" i="2"/>
  <c r="N22" i="2"/>
  <c r="Q22" i="2" s="1"/>
  <c r="M22" i="2"/>
  <c r="P22" i="2" s="1"/>
  <c r="L22" i="2"/>
  <c r="O22" i="2" s="1"/>
  <c r="L54" i="2"/>
  <c r="O54" i="2" s="1"/>
  <c r="N54" i="2"/>
  <c r="Q54" i="2" s="1"/>
  <c r="M54" i="2"/>
  <c r="P54" i="2" s="1"/>
  <c r="J56" i="2"/>
  <c r="K55" i="2"/>
  <c r="J57" i="2" l="1"/>
  <c r="K56" i="2"/>
  <c r="L55" i="2"/>
  <c r="O55" i="2" s="1"/>
  <c r="N55" i="2"/>
  <c r="Q55" i="2" s="1"/>
  <c r="M55" i="2"/>
  <c r="P55" i="2" s="1"/>
  <c r="L21" i="2"/>
  <c r="O21" i="2" s="1"/>
  <c r="N21" i="2"/>
  <c r="Q21" i="2" s="1"/>
  <c r="M21" i="2"/>
  <c r="P21" i="2" s="1"/>
  <c r="J19" i="2"/>
  <c r="K20" i="2"/>
  <c r="M56" i="2" l="1"/>
  <c r="P56" i="2" s="1"/>
  <c r="L56" i="2"/>
  <c r="O56" i="2" s="1"/>
  <c r="N56" i="2"/>
  <c r="Q56" i="2" s="1"/>
  <c r="L20" i="2"/>
  <c r="O20" i="2" s="1"/>
  <c r="N20" i="2"/>
  <c r="Q20" i="2" s="1"/>
  <c r="M20" i="2"/>
  <c r="P20" i="2" s="1"/>
  <c r="J18" i="2"/>
  <c r="K18" i="2" s="1"/>
  <c r="K19" i="2"/>
  <c r="J58" i="2"/>
  <c r="K58" i="2" s="1"/>
  <c r="K57" i="2"/>
  <c r="L57" i="2" l="1"/>
  <c r="O57" i="2" s="1"/>
  <c r="N57" i="2"/>
  <c r="Q57" i="2" s="1"/>
  <c r="M57" i="2"/>
  <c r="P57" i="2" s="1"/>
  <c r="L18" i="2"/>
  <c r="O18" i="2" s="1"/>
  <c r="N18" i="2"/>
  <c r="Q18" i="2" s="1"/>
  <c r="M18" i="2"/>
  <c r="P18" i="2" s="1"/>
  <c r="L58" i="2"/>
  <c r="O58" i="2" s="1"/>
  <c r="N58" i="2"/>
  <c r="Q58" i="2" s="1"/>
  <c r="M58" i="2"/>
  <c r="P58" i="2" s="1"/>
  <c r="M19" i="2"/>
  <c r="P19" i="2" s="1"/>
  <c r="L19" i="2"/>
  <c r="O19" i="2" s="1"/>
  <c r="N19" i="2"/>
  <c r="Q19" i="2" s="1"/>
</calcChain>
</file>

<file path=xl/sharedStrings.xml><?xml version="1.0" encoding="utf-8"?>
<sst xmlns="http://schemas.openxmlformats.org/spreadsheetml/2006/main" count="139" uniqueCount="128">
  <si>
    <t>Datum:</t>
  </si>
  <si>
    <t>Uhrzeit UT1:</t>
  </si>
  <si>
    <t>Sextantenablesung:</t>
  </si>
  <si>
    <t>Augeshöhe:</t>
  </si>
  <si>
    <t>Grad</t>
  </si>
  <si>
    <t xml:space="preserve"> nm</t>
  </si>
  <si>
    <t>m</t>
  </si>
  <si>
    <t>UR</t>
  </si>
  <si>
    <t xml:space="preserve">Indexberichtigung Beob. 1: </t>
  </si>
  <si>
    <t xml:space="preserve">Indexberichtigung Beob. 2: </t>
  </si>
  <si>
    <t>h</t>
  </si>
  <si>
    <t xml:space="preserve">Schiffsmittag: </t>
  </si>
  <si>
    <t>U</t>
  </si>
  <si>
    <t>Sextantenablesung :</t>
  </si>
  <si>
    <t>Gesamtbeschickung :</t>
  </si>
  <si>
    <t>Zusatzbeschickung :</t>
  </si>
  <si>
    <t>Indexberichtigung :</t>
  </si>
  <si>
    <t>Bogenmaß :</t>
  </si>
  <si>
    <t>beobachtete Höhe:</t>
  </si>
  <si>
    <t>Grad Minuten :</t>
  </si>
  <si>
    <t>Zeit UT1:</t>
  </si>
  <si>
    <t>Greenwichwinkel Grt:</t>
  </si>
  <si>
    <r>
      <t xml:space="preserve">Deklination </t>
    </r>
    <r>
      <rPr>
        <sz val="11"/>
        <color theme="1"/>
        <rFont val="Symbol"/>
        <charset val="2"/>
      </rPr>
      <t>d</t>
    </r>
    <r>
      <rPr>
        <sz val="11"/>
        <color theme="1"/>
        <rFont val="Helvetica Neue"/>
        <family val="2"/>
      </rPr>
      <t>:</t>
    </r>
  </si>
  <si>
    <t>LHA:</t>
  </si>
  <si>
    <t xml:space="preserve">Sonnenrand Beob. 1: </t>
  </si>
  <si>
    <t xml:space="preserve">Sonnenrand Beob. 2: </t>
  </si>
  <si>
    <t>beobachtete Höhe h:</t>
  </si>
  <si>
    <t>Bezeichnung</t>
  </si>
  <si>
    <t xml:space="preserve">LHA = </t>
  </si>
  <si>
    <t>Azimut Az:</t>
  </si>
  <si>
    <t>UTC</t>
  </si>
  <si>
    <t xml:space="preserve">plus Tage : </t>
  </si>
  <si>
    <t>F =</t>
  </si>
  <si>
    <t>W =</t>
  </si>
  <si>
    <t>G =</t>
  </si>
  <si>
    <r>
      <rPr>
        <sz val="12"/>
        <color theme="1"/>
        <rFont val="Symbol"/>
        <charset val="2"/>
      </rPr>
      <t>j</t>
    </r>
    <r>
      <rPr>
        <sz val="12"/>
        <color theme="1"/>
        <rFont val="Calibri"/>
        <family val="2"/>
        <charset val="2"/>
        <scheme val="minor"/>
      </rPr>
      <t xml:space="preserve"> =</t>
    </r>
  </si>
  <si>
    <t>z =</t>
  </si>
  <si>
    <r>
      <rPr>
        <sz val="12"/>
        <color theme="1"/>
        <rFont val="Symbol"/>
        <charset val="2"/>
      </rPr>
      <t>t</t>
    </r>
    <r>
      <rPr>
        <sz val="12"/>
        <color theme="1"/>
        <rFont val="Calibri"/>
        <family val="2"/>
        <scheme val="minor"/>
      </rPr>
      <t xml:space="preserve"> =</t>
    </r>
  </si>
  <si>
    <t>DD° mm,m'</t>
  </si>
  <si>
    <t>distance made good:</t>
  </si>
  <si>
    <t>course made good:</t>
  </si>
  <si>
    <t xml:space="preserve">LHA' = </t>
  </si>
  <si>
    <t xml:space="preserve">z' = </t>
  </si>
  <si>
    <t>V =</t>
  </si>
  <si>
    <t>h_</t>
  </si>
  <si>
    <r>
      <rPr>
        <sz val="12"/>
        <color theme="1"/>
        <rFont val="Symbol"/>
        <charset val="2"/>
      </rPr>
      <t>q</t>
    </r>
    <r>
      <rPr>
        <sz val="12"/>
        <color theme="1"/>
        <rFont val="Calibri"/>
        <family val="2"/>
        <charset val="2"/>
        <scheme val="minor"/>
      </rPr>
      <t xml:space="preserve"> =</t>
    </r>
  </si>
  <si>
    <r>
      <rPr>
        <sz val="12"/>
        <color theme="1"/>
        <rFont val="Symbol"/>
        <charset val="2"/>
      </rPr>
      <t>l</t>
    </r>
    <r>
      <rPr>
        <sz val="12"/>
        <color theme="1"/>
        <rFont val="Calibri"/>
        <family val="2"/>
        <charset val="2"/>
        <scheme val="minor"/>
      </rPr>
      <t>* =</t>
    </r>
  </si>
  <si>
    <t xml:space="preserve">hs = </t>
  </si>
  <si>
    <t>Ws =</t>
  </si>
  <si>
    <t>Gs =</t>
  </si>
  <si>
    <r>
      <rPr>
        <sz val="12"/>
        <color theme="1"/>
        <rFont val="Symbol"/>
        <charset val="2"/>
      </rPr>
      <t>l</t>
    </r>
    <r>
      <rPr>
        <sz val="12"/>
        <color theme="1"/>
        <rFont val="Calibri (Textkörper)"/>
      </rPr>
      <t xml:space="preserve">s = </t>
    </r>
  </si>
  <si>
    <t>radiant</t>
  </si>
  <si>
    <t>Symbol</t>
  </si>
  <si>
    <t>Obs. 1</t>
  </si>
  <si>
    <t>Obs. 2</t>
  </si>
  <si>
    <t>Parameter</t>
  </si>
  <si>
    <t>P</t>
  </si>
  <si>
    <t>K</t>
  </si>
  <si>
    <t>COP 1</t>
  </si>
  <si>
    <t>COP 2</t>
  </si>
  <si>
    <t>Info for COP 2</t>
  </si>
  <si>
    <t>Position</t>
  </si>
  <si>
    <t>Standort und Versegelung</t>
  </si>
  <si>
    <t>Kennwort:     change</t>
  </si>
  <si>
    <t xml:space="preserve">Breitenbereich: </t>
  </si>
  <si>
    <t>versegelter Kurs:</t>
  </si>
  <si>
    <t>versegelte Strecke s:</t>
  </si>
  <si>
    <t>nm</t>
  </si>
  <si>
    <r>
      <t xml:space="preserve">versegelte Breite </t>
    </r>
    <r>
      <rPr>
        <sz val="12"/>
        <color theme="1"/>
        <rFont val="Symbol"/>
        <charset val="2"/>
      </rPr>
      <t>Dj</t>
    </r>
    <r>
      <rPr>
        <sz val="12"/>
        <color theme="1"/>
        <rFont val="Helvetica Neue"/>
        <family val="2"/>
      </rPr>
      <t>:</t>
    </r>
  </si>
  <si>
    <t xml:space="preserve">Schrittweite Breite: </t>
  </si>
  <si>
    <t>LHA° :</t>
  </si>
  <si>
    <t>LHA°_ :</t>
  </si>
  <si>
    <t>Standortgrafikbereich</t>
  </si>
  <si>
    <t>j</t>
  </si>
  <si>
    <t>lv</t>
  </si>
  <si>
    <r>
      <rPr>
        <sz val="12"/>
        <color theme="1"/>
        <rFont val="Symbol"/>
        <charset val="2"/>
      </rPr>
      <t>t</t>
    </r>
    <r>
      <rPr>
        <sz val="12"/>
        <color theme="1"/>
        <rFont val="Calibri (Textkörper)"/>
      </rPr>
      <t>s =</t>
    </r>
    <r>
      <rPr>
        <sz val="12"/>
        <color theme="1"/>
        <rFont val="Calibri"/>
        <family val="2"/>
        <charset val="2"/>
      </rPr>
      <t xml:space="preserve"> </t>
    </r>
  </si>
  <si>
    <r>
      <rPr>
        <sz val="12"/>
        <color theme="1"/>
        <rFont val="Symbol"/>
        <charset val="2"/>
      </rPr>
      <t>j</t>
    </r>
    <r>
      <rPr>
        <sz val="12"/>
        <color theme="1"/>
        <rFont val="Calibri (Textkörper)"/>
      </rPr>
      <t>s =</t>
    </r>
    <r>
      <rPr>
        <sz val="12"/>
        <color theme="1"/>
        <rFont val="Calibri"/>
        <family val="2"/>
        <charset val="2"/>
      </rPr>
      <t xml:space="preserve"> </t>
    </r>
  </si>
  <si>
    <r>
      <t>l</t>
    </r>
    <r>
      <rPr>
        <sz val="12"/>
        <color rgb="FF000000"/>
        <rFont val="Calibri (Textkörper)"/>
      </rPr>
      <t>*s =</t>
    </r>
    <r>
      <rPr>
        <sz val="12"/>
        <color rgb="FF000000"/>
        <rFont val="Symbol"/>
        <charset val="2"/>
      </rPr>
      <t xml:space="preserve"> </t>
    </r>
  </si>
  <si>
    <r>
      <t>versegelte Länge</t>
    </r>
    <r>
      <rPr>
        <sz val="12"/>
        <color theme="1"/>
        <rFont val="Symbol"/>
        <charset val="2"/>
      </rPr>
      <t xml:space="preserve"> Dl</t>
    </r>
    <r>
      <rPr>
        <sz val="12"/>
        <color theme="1"/>
        <rFont val="Helvetica Neue"/>
        <family val="2"/>
      </rPr>
      <t>:</t>
    </r>
  </si>
  <si>
    <r>
      <rPr>
        <sz val="12"/>
        <rFont val="Symbol"/>
        <charset val="2"/>
      </rPr>
      <t>j</t>
    </r>
    <r>
      <rPr>
        <sz val="9"/>
        <rFont val="Calibri"/>
        <family val="2"/>
      </rPr>
      <t>rad</t>
    </r>
  </si>
  <si>
    <r>
      <t>P</t>
    </r>
    <r>
      <rPr>
        <sz val="9"/>
        <rFont val="Symbol"/>
        <charset val="2"/>
      </rPr>
      <t>l</t>
    </r>
    <r>
      <rPr>
        <sz val="9"/>
        <rFont val="Helvetica Neue"/>
        <family val="2"/>
      </rPr>
      <t>1</t>
    </r>
  </si>
  <si>
    <r>
      <t>P</t>
    </r>
    <r>
      <rPr>
        <sz val="9"/>
        <rFont val="Symbol"/>
        <charset val="2"/>
      </rPr>
      <t>l</t>
    </r>
    <r>
      <rPr>
        <sz val="9"/>
        <rFont val="Helvetica Neue"/>
        <family val="2"/>
      </rPr>
      <t>2</t>
    </r>
  </si>
  <si>
    <r>
      <t>P</t>
    </r>
    <r>
      <rPr>
        <sz val="9"/>
        <rFont val="Symbol"/>
        <charset val="2"/>
      </rPr>
      <t>l</t>
    </r>
    <r>
      <rPr>
        <sz val="9"/>
        <rFont val="Calibri (Textkörper)"/>
      </rPr>
      <t>S</t>
    </r>
  </si>
  <si>
    <r>
      <rPr>
        <sz val="12"/>
        <rFont val="Symbol"/>
        <charset val="2"/>
      </rPr>
      <t>l</t>
    </r>
    <r>
      <rPr>
        <sz val="9"/>
        <rFont val="Helvetica Neue"/>
        <family val="2"/>
      </rPr>
      <t>1</t>
    </r>
  </si>
  <si>
    <r>
      <rPr>
        <sz val="12"/>
        <rFont val="Symbol"/>
        <charset val="2"/>
      </rPr>
      <t>l</t>
    </r>
    <r>
      <rPr>
        <sz val="9"/>
        <rFont val="Helvetica Neue"/>
        <family val="2"/>
      </rPr>
      <t>2</t>
    </r>
  </si>
  <si>
    <t>DMG</t>
  </si>
  <si>
    <r>
      <t xml:space="preserve">versegelte </t>
    </r>
    <r>
      <rPr>
        <sz val="14"/>
        <color theme="1"/>
        <rFont val="Symbol"/>
        <charset val="2"/>
      </rPr>
      <t xml:space="preserve">l </t>
    </r>
    <r>
      <rPr>
        <sz val="14"/>
        <color theme="1"/>
        <rFont val="Helvetica Neue"/>
        <family val="2"/>
      </rPr>
      <t>und</t>
    </r>
    <r>
      <rPr>
        <sz val="14"/>
        <color theme="1"/>
        <rFont val="Symbol"/>
        <charset val="2"/>
      </rPr>
      <t xml:space="preserve"> j</t>
    </r>
    <r>
      <rPr>
        <sz val="14"/>
        <color theme="1"/>
        <rFont val="Helvetica Neue"/>
        <family val="2"/>
      </rPr>
      <t xml:space="preserve"> für die Standortgrafik</t>
    </r>
  </si>
  <si>
    <r>
      <t>L</t>
    </r>
    <r>
      <rPr>
        <sz val="8"/>
        <color theme="1"/>
        <rFont val="Calibri (Textkörper)_x0000_"/>
      </rPr>
      <t>rad</t>
    </r>
    <r>
      <rPr>
        <sz val="12"/>
        <color theme="1"/>
        <rFont val="Calibri"/>
        <family val="2"/>
        <scheme val="minor"/>
      </rPr>
      <t xml:space="preserve"> = </t>
    </r>
  </si>
  <si>
    <t xml:space="preserve">T = </t>
  </si>
  <si>
    <t xml:space="preserve">L = </t>
  </si>
  <si>
    <r>
      <t>𝜛</t>
    </r>
    <r>
      <rPr>
        <sz val="8"/>
        <color theme="1"/>
        <rFont val="Calibri (Textkörper)_x0000_"/>
      </rPr>
      <t>rad</t>
    </r>
    <r>
      <rPr>
        <sz val="12"/>
        <color theme="1"/>
        <rFont val="Calibri"/>
        <family val="2"/>
        <scheme val="minor"/>
      </rPr>
      <t xml:space="preserve"> = </t>
    </r>
  </si>
  <si>
    <t xml:space="preserve">𝜛 = </t>
  </si>
  <si>
    <t>M =</t>
  </si>
  <si>
    <t xml:space="preserve">e = </t>
  </si>
  <si>
    <r>
      <t>e</t>
    </r>
    <r>
      <rPr>
        <sz val="8"/>
        <color theme="1"/>
        <rFont val="Calibri (Textkörper)"/>
      </rPr>
      <t>rad</t>
    </r>
    <r>
      <rPr>
        <sz val="12"/>
        <color theme="1"/>
        <rFont val="Symbol"/>
        <charset val="2"/>
      </rPr>
      <t xml:space="preserve"> = </t>
    </r>
  </si>
  <si>
    <r>
      <t>g</t>
    </r>
    <r>
      <rPr>
        <sz val="8"/>
        <color theme="1"/>
        <rFont val="Calibri (Textkörper)_x0000_"/>
      </rPr>
      <t>rad</t>
    </r>
    <r>
      <rPr>
        <sz val="12"/>
        <color theme="1"/>
        <rFont val="Calibri"/>
        <family val="2"/>
        <scheme val="minor"/>
      </rPr>
      <t xml:space="preserve"> = </t>
    </r>
  </si>
  <si>
    <t xml:space="preserve">d = </t>
  </si>
  <si>
    <t xml:space="preserve">d° = </t>
  </si>
  <si>
    <t xml:space="preserve">_A1 = </t>
  </si>
  <si>
    <t xml:space="preserve">_A2 = </t>
  </si>
  <si>
    <t xml:space="preserve">_A3 = </t>
  </si>
  <si>
    <t xml:space="preserve">_A4 = </t>
  </si>
  <si>
    <t xml:space="preserve">_B1 = </t>
  </si>
  <si>
    <t xml:space="preserve">_B2 = </t>
  </si>
  <si>
    <t xml:space="preserve">_B3 = </t>
  </si>
  <si>
    <t xml:space="preserve">_B4 = </t>
  </si>
  <si>
    <t>Einstellungen</t>
  </si>
  <si>
    <t>Messung 1</t>
  </si>
  <si>
    <t>Versegelung</t>
  </si>
  <si>
    <t>Messung 2</t>
  </si>
  <si>
    <t>Ergebnis</t>
  </si>
  <si>
    <t>Zusatzinformationen</t>
  </si>
  <si>
    <t>Ephemeridenrechnung</t>
  </si>
  <si>
    <t>Bahnparameter</t>
  </si>
  <si>
    <t>Zusatzbeschickung</t>
  </si>
  <si>
    <t>Beschickung Sextantenablesung</t>
  </si>
  <si>
    <t>Standortberechnung</t>
  </si>
  <si>
    <t>gewählt:</t>
  </si>
  <si>
    <t>NAVIGATION</t>
  </si>
  <si>
    <t>Die Methode von Carl Friedrich Gauß</t>
  </si>
  <si>
    <t>Monat</t>
  </si>
  <si>
    <t xml:space="preserve">Grt = </t>
  </si>
  <si>
    <t xml:space="preserve">Grt° = </t>
  </si>
  <si>
    <t xml:space="preserve">C = </t>
  </si>
  <si>
    <t xml:space="preserve">Grt0 = </t>
  </si>
  <si>
    <t xml:space="preserve">Dat ref = </t>
  </si>
  <si>
    <t xml:space="preserve">eigene Standortbreite :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</si>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</sst>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0.0000"/>
    <numFmt numFmtId="165" formatCode="0.000"/>
    <numFmt numFmtId="166" formatCode="0.0"/>
    <numFmt numFmtId="167" formatCode="[$-407]d/\ mmm/;@"/>
    <numFmt numFmtId="168" formatCode="[$-F400]h:mm:ss\ AM/PM"/>
    <numFmt numFmtId="169" formatCode="[$-407]d/\ mmm\ yy;@"/>
    <numFmt numFmtId="170" formatCode="0.000_ ;[Red]\-0.000\ "/>
    <numFmt numFmtId="171" formatCode="0.0000_ ;[Red]\-0.0000\ "/>
    <numFmt numFmtId="172" formatCode="0.00\°"/>
    <numFmt numFmtId="173" formatCode="0\°"/>
    <numFmt numFmtId="174" formatCode="0.000\°"/>
    <numFmt numFmtId="175" formatCode="000\°"/>
    <numFmt numFmtId="176" formatCode="0.00\'"/>
    <numFmt numFmtId="177" formatCode="0.0\'"/>
    <numFmt numFmtId="178" formatCode="0.00\°;[Red]0.00\°"/>
    <numFmt numFmtId="179" formatCode="0.00000"/>
    <numFmt numFmtId="180" formatCode="0.0\°"/>
    <numFmt numFmtId="181" formatCode="#,##0.00\ _€"/>
    <numFmt numFmtId="182" formatCode="0.00_ ;[Red]\-0.00\ "/>
    <numFmt numFmtId="183" formatCode="0.000000"/>
    <numFmt numFmtId="184" formatCode="0.0000E+00"/>
    <numFmt numFmtId="185" formatCode="d/m/yyyy;@"/>
    <numFmt numFmtId="186" formatCode="0.000000000000000"/>
    <numFmt numFmtId="187" formatCode="0.00000000000000"/>
  </numFmts>
  <fonts count="5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Lucida Calligraphy Italic"/>
    </font>
    <font>
      <b/>
      <sz val="18"/>
      <color theme="1"/>
      <name val="Lucida Calligraphy Italic"/>
    </font>
    <font>
      <sz val="12"/>
      <color theme="1"/>
      <name val="Helvetica Neue"/>
      <family val="2"/>
    </font>
    <font>
      <sz val="11"/>
      <color theme="1"/>
      <name val="Helvetica Neue"/>
      <family val="2"/>
    </font>
    <font>
      <sz val="10"/>
      <color theme="1"/>
      <name val="Helvetica Neue"/>
      <family val="2"/>
    </font>
    <font>
      <sz val="10"/>
      <color rgb="FFC00000"/>
      <name val="Helvetica Neue"/>
      <family val="2"/>
    </font>
    <font>
      <sz val="9"/>
      <color rgb="FFC00000"/>
      <name val="Helvetica Neue"/>
      <family val="2"/>
    </font>
    <font>
      <sz val="12"/>
      <color theme="1"/>
      <name val="Symbol"/>
      <charset val="2"/>
    </font>
    <font>
      <sz val="11"/>
      <color theme="1"/>
      <name val="Symbol"/>
      <charset val="2"/>
    </font>
    <font>
      <b/>
      <sz val="10"/>
      <color rgb="FFFF0000"/>
      <name val="Helvetica Neue"/>
      <family val="2"/>
    </font>
    <font>
      <sz val="11"/>
      <name val="Helvetica Neue"/>
      <family val="2"/>
    </font>
    <font>
      <sz val="11"/>
      <color theme="1"/>
      <name val="Calibri"/>
      <family val="2"/>
      <scheme val="minor"/>
    </font>
    <font>
      <sz val="14"/>
      <color theme="1"/>
      <name val="Helvetica Neue"/>
      <family val="2"/>
    </font>
    <font>
      <b/>
      <sz val="11"/>
      <color theme="1"/>
      <name val="Helvetica Neue"/>
      <family val="2"/>
    </font>
    <font>
      <sz val="10"/>
      <color theme="1"/>
      <name val="Calibri"/>
      <family val="2"/>
      <scheme val="minor"/>
    </font>
    <font>
      <sz val="11"/>
      <color rgb="FFC00000"/>
      <name val="Helvetica Neue"/>
      <family val="2"/>
    </font>
    <font>
      <sz val="10"/>
      <color theme="1"/>
      <name val="Lucida Calligraphy Italic"/>
    </font>
    <font>
      <sz val="12"/>
      <color rgb="FFC00000"/>
      <name val="Helvetica Neue"/>
      <family val="2"/>
    </font>
    <font>
      <sz val="11"/>
      <color theme="1"/>
      <name val="Calibri"/>
      <family val="2"/>
      <charset val="2"/>
      <scheme val="minor"/>
    </font>
    <font>
      <b/>
      <sz val="12"/>
      <color theme="1"/>
      <name val="Helvetica Neue"/>
      <family val="2"/>
    </font>
    <font>
      <sz val="12"/>
      <name val="Helvetica Neue"/>
      <family val="2"/>
    </font>
    <font>
      <sz val="12"/>
      <color theme="1"/>
      <name val="Calibri"/>
      <family val="2"/>
      <charset val="2"/>
      <scheme val="minor"/>
    </font>
    <font>
      <sz val="12"/>
      <color theme="1"/>
      <name val="Calibri (Textkörper)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Helvetica Neue"/>
      <family val="2"/>
    </font>
    <font>
      <sz val="12"/>
      <color rgb="FF000000"/>
      <name val="Helvetica Neue"/>
      <family val="2"/>
    </font>
    <font>
      <sz val="18"/>
      <color theme="1" tint="0.34998626667073579"/>
      <name val="Lucida Calligraphy Italic"/>
    </font>
    <font>
      <sz val="12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000000"/>
      <name val="Symbol"/>
      <charset val="2"/>
    </font>
    <font>
      <sz val="12"/>
      <color rgb="FF000000"/>
      <name val="Calibri (Textkörper)"/>
    </font>
    <font>
      <sz val="12"/>
      <color theme="1"/>
      <name val="Calibri"/>
      <family val="2"/>
      <charset val="2"/>
    </font>
    <font>
      <sz val="8"/>
      <color theme="1"/>
      <name val="Calibri (Textkörper)_x0000_"/>
    </font>
    <font>
      <sz val="8"/>
      <color theme="1"/>
      <name val="Calibri (Textkörper)"/>
    </font>
    <font>
      <b/>
      <sz val="11"/>
      <name val="Helvetica Neue"/>
      <family val="2"/>
    </font>
    <font>
      <sz val="12"/>
      <color rgb="FFFF0000"/>
      <name val="Calibri"/>
      <family val="2"/>
      <scheme val="minor"/>
    </font>
    <font>
      <sz val="14"/>
      <color theme="1"/>
      <name val="Symbol"/>
      <charset val="2"/>
    </font>
    <font>
      <sz val="12"/>
      <name val="Symbol"/>
      <charset val="2"/>
    </font>
    <font>
      <sz val="12"/>
      <name val="Calibri"/>
      <family val="2"/>
      <charset val="2"/>
    </font>
    <font>
      <sz val="12"/>
      <name val="Helvetica Neue"/>
      <family val="2"/>
      <charset val="2"/>
    </font>
    <font>
      <sz val="9"/>
      <name val="Helvetica Neue"/>
      <family val="2"/>
      <charset val="2"/>
    </font>
    <font>
      <sz val="12"/>
      <color rgb="FF00B05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rgb="FF00B050"/>
      <name val="Helvetica Neue"/>
      <family val="2"/>
    </font>
    <font>
      <sz val="11"/>
      <color rgb="FFFF0000"/>
      <name val="Helvetica Neue"/>
      <family val="2"/>
    </font>
    <font>
      <sz val="11"/>
      <color theme="9" tint="-0.249977111117893"/>
      <name val="Helvetica Neue"/>
      <family val="2"/>
    </font>
    <font>
      <sz val="11"/>
      <color rgb="FF0070C0"/>
      <name val="Helvetica Neue"/>
      <family val="2"/>
    </font>
    <font>
      <sz val="9"/>
      <name val="Calibri"/>
      <family val="2"/>
    </font>
    <font>
      <sz val="9"/>
      <name val="Symbol"/>
      <charset val="2"/>
    </font>
    <font>
      <sz val="9"/>
      <name val="Helvetica Neue"/>
      <family val="2"/>
    </font>
    <font>
      <sz val="9"/>
      <name val="Calibri (Textkörper)"/>
    </font>
    <font>
      <sz val="18"/>
      <color rgb="FFC00000"/>
      <name val="Lucida Calligraphy Italic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hair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medium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/>
      <right/>
      <top style="medium">
        <color rgb="FF0070C0"/>
      </top>
      <bottom style="hair">
        <color rgb="FF0070C0"/>
      </bottom>
      <diagonal/>
    </border>
    <border>
      <left style="thin">
        <color rgb="FF0070C0"/>
      </left>
      <right/>
      <top style="medium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 style="hair">
        <color rgb="FFC00000"/>
      </top>
      <bottom style="medium">
        <color rgb="FFC00000"/>
      </bottom>
      <diagonal/>
    </border>
    <border>
      <left/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/>
      <right style="medium">
        <color rgb="FF00B050"/>
      </right>
      <top style="hair">
        <color rgb="FF00B050"/>
      </top>
      <bottom style="hair">
        <color rgb="FF00B050"/>
      </bottom>
      <diagonal/>
    </border>
    <border>
      <left style="medium">
        <color rgb="FF00B050"/>
      </left>
      <right/>
      <top style="hair">
        <color rgb="FF00B050"/>
      </top>
      <bottom style="medium">
        <color rgb="FF00B050"/>
      </bottom>
      <diagonal/>
    </border>
    <border>
      <left/>
      <right/>
      <top style="hair">
        <color rgb="FF00B050"/>
      </top>
      <bottom style="medium">
        <color rgb="FF00B050"/>
      </bottom>
      <diagonal/>
    </border>
    <border>
      <left/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 style="hair">
        <color rgb="FF00B050"/>
      </bottom>
      <diagonal/>
    </border>
    <border>
      <left/>
      <right/>
      <top/>
      <bottom style="hair">
        <color rgb="FF00B050"/>
      </bottom>
      <diagonal/>
    </border>
    <border>
      <left/>
      <right style="medium">
        <color rgb="FF00B050"/>
      </right>
      <top/>
      <bottom style="hair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hair">
        <color rgb="FFC00000"/>
      </bottom>
      <diagonal/>
    </border>
    <border>
      <left/>
      <right/>
      <top/>
      <bottom style="hair">
        <color rgb="FFC00000"/>
      </bottom>
      <diagonal/>
    </border>
    <border>
      <left/>
      <right style="thin">
        <color rgb="FFC00000"/>
      </right>
      <top/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rgb="FFC00000"/>
      </left>
      <right/>
      <top style="hair">
        <color rgb="FFC00000"/>
      </top>
      <bottom style="hair">
        <color rgb="FFC00000"/>
      </bottom>
      <diagonal/>
    </border>
    <border>
      <left/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thin">
        <color rgb="FFC00000"/>
      </bottom>
      <diagonal/>
    </border>
    <border>
      <left/>
      <right/>
      <top style="hair">
        <color rgb="FFC00000"/>
      </top>
      <bottom style="thin">
        <color rgb="FFC00000"/>
      </bottom>
      <diagonal/>
    </border>
    <border>
      <left style="thin">
        <color rgb="FFC00000"/>
      </left>
      <right/>
      <top style="hair">
        <color rgb="FFC00000"/>
      </top>
      <bottom style="thin">
        <color rgb="FFC00000"/>
      </bottom>
      <diagonal/>
    </border>
    <border>
      <left/>
      <right style="thin">
        <color rgb="FFC00000"/>
      </right>
      <top style="hair">
        <color rgb="FFC00000"/>
      </top>
      <bottom style="thin">
        <color rgb="FFC0000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 style="hair">
        <color rgb="FFC00000"/>
      </top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hair">
        <color rgb="FFC00000"/>
      </bottom>
      <diagonal/>
    </border>
    <border>
      <left/>
      <right/>
      <top style="thin">
        <color rgb="FFC00000"/>
      </top>
      <bottom style="hair">
        <color rgb="FFC0000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medium">
        <color rgb="FFC00000"/>
      </right>
      <top style="hair">
        <color rgb="FFC00000"/>
      </top>
      <bottom/>
      <diagonal/>
    </border>
    <border>
      <left style="medium">
        <color rgb="FFFFC000"/>
      </left>
      <right style="thin">
        <color rgb="FFFFC000"/>
      </right>
      <top style="hair">
        <color rgb="FFFFC000"/>
      </top>
      <bottom style="hair">
        <color rgb="FFFFC000"/>
      </bottom>
      <diagonal/>
    </border>
    <border>
      <left style="thin">
        <color rgb="FFFFC000"/>
      </left>
      <right style="medium">
        <color rgb="FFFFC000"/>
      </right>
      <top style="hair">
        <color rgb="FFFFC000"/>
      </top>
      <bottom style="hair">
        <color rgb="FFFFC000"/>
      </bottom>
      <diagonal/>
    </border>
    <border>
      <left style="medium">
        <color rgb="FFFFC000"/>
      </left>
      <right style="thin">
        <color rgb="FFFFC000"/>
      </right>
      <top style="hair">
        <color rgb="FFFFC000"/>
      </top>
      <bottom style="medium">
        <color rgb="FFFFC000"/>
      </bottom>
      <diagonal/>
    </border>
    <border>
      <left style="thin">
        <color rgb="FFFFC000"/>
      </left>
      <right style="medium">
        <color rgb="FFFFC000"/>
      </right>
      <top style="hair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rgb="FFFFC000"/>
      </right>
      <top/>
      <bottom style="hair">
        <color rgb="FFFFC000"/>
      </bottom>
      <diagonal/>
    </border>
    <border>
      <left style="thin">
        <color rgb="FFFFC000"/>
      </left>
      <right style="medium">
        <color rgb="FFFFC000"/>
      </right>
      <top/>
      <bottom style="hair">
        <color rgb="FFFFC000"/>
      </bottom>
      <diagonal/>
    </border>
    <border>
      <left style="medium">
        <color rgb="FFFFC000"/>
      </left>
      <right style="thin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theme="7"/>
      </left>
      <right style="thin">
        <color theme="7"/>
      </right>
      <top style="hair">
        <color theme="7"/>
      </top>
      <bottom style="hair">
        <color theme="7"/>
      </bottom>
      <diagonal/>
    </border>
    <border>
      <left style="thin">
        <color theme="7"/>
      </left>
      <right style="thin">
        <color theme="7"/>
      </right>
      <top style="hair">
        <color theme="7"/>
      </top>
      <bottom style="hair">
        <color theme="7"/>
      </bottom>
      <diagonal/>
    </border>
    <border>
      <left style="thin">
        <color theme="7"/>
      </left>
      <right style="medium">
        <color theme="7"/>
      </right>
      <top style="hair">
        <color theme="7"/>
      </top>
      <bottom style="hair">
        <color theme="7"/>
      </bottom>
      <diagonal/>
    </border>
    <border>
      <left style="medium">
        <color theme="7"/>
      </left>
      <right style="thin">
        <color theme="7"/>
      </right>
      <top style="hair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hair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hair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/>
      <bottom style="hair">
        <color theme="7"/>
      </bottom>
      <diagonal/>
    </border>
    <border>
      <left style="thin">
        <color theme="7"/>
      </left>
      <right style="thin">
        <color theme="7"/>
      </right>
      <top/>
      <bottom style="hair">
        <color theme="7"/>
      </bottom>
      <diagonal/>
    </border>
    <border>
      <left style="thin">
        <color theme="7"/>
      </left>
      <right style="medium">
        <color theme="7"/>
      </right>
      <top/>
      <bottom style="hair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hair">
        <color theme="7"/>
      </top>
      <bottom/>
      <diagonal/>
    </border>
    <border>
      <left style="thin">
        <color theme="7"/>
      </left>
      <right style="thin">
        <color theme="7"/>
      </right>
      <top style="hair">
        <color theme="7"/>
      </top>
      <bottom/>
      <diagonal/>
    </border>
    <border>
      <left style="thin">
        <color theme="7"/>
      </left>
      <right style="medium">
        <color theme="7"/>
      </right>
      <top style="hair">
        <color theme="7"/>
      </top>
      <bottom/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rgb="FFC00000"/>
      </right>
      <top/>
      <bottom style="double">
        <color rgb="FFC00000"/>
      </bottom>
      <diagonal/>
    </border>
    <border>
      <left style="thin">
        <color rgb="FFC00000"/>
      </left>
      <right style="thin">
        <color rgb="FFC00000"/>
      </right>
      <top/>
      <bottom style="double">
        <color rgb="FFC00000"/>
      </bottom>
      <diagonal/>
    </border>
    <border>
      <left style="thin">
        <color rgb="FFC00000"/>
      </left>
      <right style="medium">
        <color rgb="FFC00000"/>
      </right>
      <top/>
      <bottom style="double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hair">
        <color theme="7"/>
      </bottom>
      <diagonal/>
    </border>
    <border>
      <left style="thin">
        <color theme="7"/>
      </left>
      <right/>
      <top style="medium">
        <color theme="7"/>
      </top>
      <bottom style="hair">
        <color theme="7"/>
      </bottom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medium">
        <color rgb="FF0070C0"/>
      </bottom>
      <diagonal/>
    </border>
  </borders>
  <cellStyleXfs count="1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3">
    <xf numFmtId="0" fontId="0" fillId="0" borderId="0" xfId="0"/>
    <xf numFmtId="0" fontId="7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16" fontId="7" fillId="0" borderId="0" xfId="0" applyNumberFormat="1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right" vertical="center"/>
      <protection hidden="1"/>
    </xf>
    <xf numFmtId="0" fontId="18" fillId="0" borderId="2" xfId="0" applyFont="1" applyBorder="1" applyAlignment="1" applyProtection="1">
      <alignment horizontal="right" vertical="center"/>
      <protection hidden="1"/>
    </xf>
    <xf numFmtId="173" fontId="6" fillId="2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protection hidden="1"/>
    </xf>
    <xf numFmtId="0" fontId="6" fillId="0" borderId="6" xfId="0" applyFont="1" applyBorder="1" applyAlignment="1" applyProtection="1">
      <alignment horizontal="right"/>
      <protection hidden="1"/>
    </xf>
    <xf numFmtId="0" fontId="6" fillId="0" borderId="7" xfId="0" applyFont="1" applyBorder="1" applyAlignment="1" applyProtection="1">
      <alignment horizontal="right"/>
      <protection hidden="1"/>
    </xf>
    <xf numFmtId="177" fontId="6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/>
      <protection hidden="1"/>
    </xf>
    <xf numFmtId="165" fontId="20" fillId="0" borderId="4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164" fontId="1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2" fontId="5" fillId="0" borderId="0" xfId="0" applyNumberFormat="1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2" fontId="7" fillId="0" borderId="0" xfId="0" applyNumberFormat="1" applyFont="1" applyProtection="1">
      <protection hidden="1"/>
    </xf>
    <xf numFmtId="0" fontId="7" fillId="0" borderId="39" xfId="0" applyFont="1" applyBorder="1" applyProtection="1">
      <protection hidden="1"/>
    </xf>
    <xf numFmtId="0" fontId="5" fillId="0" borderId="24" xfId="0" applyFont="1" applyBorder="1" applyProtection="1">
      <protection hidden="1"/>
    </xf>
    <xf numFmtId="168" fontId="6" fillId="0" borderId="41" xfId="0" applyNumberFormat="1" applyFont="1" applyBorder="1" applyAlignment="1" applyProtection="1">
      <alignment horizontal="right"/>
      <protection hidden="1"/>
    </xf>
    <xf numFmtId="173" fontId="6" fillId="0" borderId="43" xfId="0" applyNumberFormat="1" applyFont="1" applyBorder="1" applyAlignment="1" applyProtection="1">
      <alignment horizontal="right"/>
      <protection hidden="1"/>
    </xf>
    <xf numFmtId="173" fontId="6" fillId="0" borderId="46" xfId="0" applyNumberFormat="1" applyFont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177" fontId="6" fillId="2" borderId="18" xfId="0" applyNumberFormat="1" applyFont="1" applyFill="1" applyBorder="1" applyAlignment="1" applyProtection="1">
      <alignment horizontal="center"/>
      <protection locked="0"/>
    </xf>
    <xf numFmtId="177" fontId="6" fillId="2" borderId="8" xfId="0" applyNumberFormat="1" applyFont="1" applyFill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right" vertical="center"/>
      <protection hidden="1"/>
    </xf>
    <xf numFmtId="0" fontId="6" fillId="0" borderId="53" xfId="0" applyFont="1" applyBorder="1" applyAlignment="1" applyProtection="1">
      <alignment vertical="center"/>
      <protection hidden="1"/>
    </xf>
    <xf numFmtId="0" fontId="6" fillId="0" borderId="53" xfId="0" applyFont="1" applyBorder="1" applyAlignment="1" applyProtection="1">
      <alignment horizontal="right" vertical="center"/>
      <protection hidden="1"/>
    </xf>
    <xf numFmtId="166" fontId="6" fillId="2" borderId="23" xfId="0" applyNumberFormat="1" applyFont="1" applyFill="1" applyBorder="1" applyAlignment="1" applyProtection="1">
      <alignment horizontal="center"/>
      <protection locked="0"/>
    </xf>
    <xf numFmtId="166" fontId="6" fillId="2" borderId="22" xfId="0" applyNumberFormat="1" applyFont="1" applyFill="1" applyBorder="1" applyAlignment="1" applyProtection="1">
      <alignment horizontal="center"/>
      <protection locked="0"/>
    </xf>
    <xf numFmtId="166" fontId="5" fillId="2" borderId="9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 vertical="center"/>
      <protection hidden="1"/>
    </xf>
    <xf numFmtId="0" fontId="14" fillId="0" borderId="2" xfId="0" applyFont="1" applyBorder="1" applyProtection="1">
      <protection hidden="1"/>
    </xf>
    <xf numFmtId="0" fontId="18" fillId="0" borderId="3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7" fontId="15" fillId="0" borderId="0" xfId="0" applyNumberFormat="1" applyFont="1" applyBorder="1" applyAlignment="1" applyProtection="1">
      <alignment horizontal="left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right" vertical="center"/>
      <protection hidden="1"/>
    </xf>
    <xf numFmtId="0" fontId="5" fillId="0" borderId="38" xfId="0" applyFont="1" applyBorder="1" applyAlignment="1" applyProtection="1">
      <alignment horizontal="right" vertical="center"/>
      <protection hidden="1"/>
    </xf>
    <xf numFmtId="0" fontId="5" fillId="0" borderId="32" xfId="0" applyFont="1" applyBorder="1" applyAlignment="1" applyProtection="1">
      <alignment horizontal="right" vertical="center"/>
      <protection hidden="1"/>
    </xf>
    <xf numFmtId="0" fontId="5" fillId="0" borderId="38" xfId="0" applyFont="1" applyBorder="1" applyAlignment="1" applyProtection="1">
      <alignment vertical="center"/>
      <protection hidden="1"/>
    </xf>
    <xf numFmtId="0" fontId="7" fillId="0" borderId="32" xfId="0" applyFont="1" applyBorder="1" applyAlignment="1" applyProtection="1">
      <alignment vertical="center"/>
      <protection hidden="1"/>
    </xf>
    <xf numFmtId="176" fontId="5" fillId="0" borderId="32" xfId="0" applyNumberFormat="1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7" fillId="0" borderId="30" xfId="0" applyFont="1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7" fillId="0" borderId="0" xfId="0" applyNumberFormat="1" applyFont="1" applyProtection="1">
      <protection hidden="1"/>
    </xf>
    <xf numFmtId="173" fontId="6" fillId="0" borderId="50" xfId="0" applyNumberFormat="1" applyFont="1" applyBorder="1" applyProtection="1">
      <protection hidden="1"/>
    </xf>
    <xf numFmtId="173" fontId="5" fillId="2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24" fillId="0" borderId="59" xfId="0" applyFont="1" applyBorder="1" applyAlignment="1" applyProtection="1">
      <alignment horizontal="right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0" fontId="24" fillId="0" borderId="61" xfId="0" applyFont="1" applyFill="1" applyBorder="1" applyAlignment="1" applyProtection="1">
      <alignment horizontal="right"/>
      <protection hidden="1"/>
    </xf>
    <xf numFmtId="178" fontId="7" fillId="0" borderId="0" xfId="0" applyNumberFormat="1" applyFont="1" applyProtection="1">
      <protection hidden="1"/>
    </xf>
    <xf numFmtId="0" fontId="0" fillId="0" borderId="59" xfId="0" applyBorder="1" applyAlignment="1" applyProtection="1">
      <alignment horizontal="right" vertical="center"/>
      <protection hidden="1"/>
    </xf>
    <xf numFmtId="0" fontId="5" fillId="0" borderId="55" xfId="0" applyFont="1" applyBorder="1" applyAlignment="1" applyProtection="1">
      <alignment horizontal="left" vertical="center"/>
      <protection hidden="1"/>
    </xf>
    <xf numFmtId="0" fontId="0" fillId="3" borderId="63" xfId="0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6" fillId="0" borderId="42" xfId="0" applyFont="1" applyBorder="1" applyAlignment="1" applyProtection="1">
      <alignment horizontal="right" vertical="center"/>
      <protection hidden="1"/>
    </xf>
    <xf numFmtId="0" fontId="6" fillId="0" borderId="45" xfId="0" applyFont="1" applyBorder="1" applyAlignment="1" applyProtection="1">
      <alignment horizontal="right" vertical="center"/>
      <protection hidden="1"/>
    </xf>
    <xf numFmtId="0" fontId="0" fillId="0" borderId="45" xfId="0" applyBorder="1" applyAlignment="1" applyProtection="1">
      <alignment horizontal="right" vertical="center"/>
      <protection hidden="1"/>
    </xf>
    <xf numFmtId="0" fontId="6" fillId="0" borderId="49" xfId="0" applyFont="1" applyBorder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168" fontId="8" fillId="0" borderId="0" xfId="0" applyNumberFormat="1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173" fontId="23" fillId="0" borderId="1" xfId="0" applyNumberFormat="1" applyFont="1" applyBorder="1" applyAlignment="1" applyProtection="1">
      <alignment horizontal="right" vertical="center"/>
      <protection hidden="1"/>
    </xf>
    <xf numFmtId="176" fontId="5" fillId="0" borderId="2" xfId="0" applyNumberFormat="1" applyFont="1" applyBorder="1" applyAlignment="1" applyProtection="1">
      <alignment horizontal="right" vertical="center"/>
      <protection hidden="1"/>
    </xf>
    <xf numFmtId="170" fontId="5" fillId="0" borderId="3" xfId="0" applyNumberFormat="1" applyFont="1" applyBorder="1" applyAlignment="1" applyProtection="1">
      <alignment horizontal="left" vertical="center"/>
      <protection hidden="1"/>
    </xf>
    <xf numFmtId="175" fontId="5" fillId="0" borderId="2" xfId="0" applyNumberFormat="1" applyFont="1" applyBorder="1" applyAlignment="1" applyProtection="1">
      <alignment horizontal="right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0" fontId="29" fillId="0" borderId="3" xfId="0" applyNumberFormat="1" applyFont="1" applyBorder="1" applyAlignment="1" applyProtection="1">
      <alignment horizontal="left" vertic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24" fillId="2" borderId="61" xfId="0" applyFont="1" applyFill="1" applyBorder="1" applyAlignment="1" applyProtection="1">
      <alignment horizontal="right"/>
      <protection hidden="1"/>
    </xf>
    <xf numFmtId="0" fontId="0" fillId="0" borderId="61" xfId="0" applyFill="1" applyBorder="1" applyAlignment="1" applyProtection="1">
      <alignment horizontal="right"/>
      <protection hidden="1"/>
    </xf>
    <xf numFmtId="0" fontId="0" fillId="2" borderId="61" xfId="0" applyFill="1" applyBorder="1" applyAlignment="1" applyProtection="1">
      <alignment horizontal="right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166" fontId="5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hidden="1"/>
    </xf>
    <xf numFmtId="0" fontId="35" fillId="2" borderId="61" xfId="0" applyFont="1" applyFill="1" applyBorder="1" applyAlignment="1" applyProtection="1">
      <alignment horizontal="right"/>
      <protection hidden="1"/>
    </xf>
    <xf numFmtId="0" fontId="35" fillId="0" borderId="63" xfId="0" applyFont="1" applyFill="1" applyBorder="1" applyAlignment="1" applyProtection="1">
      <alignment horizontal="right"/>
      <protection hidden="1"/>
    </xf>
    <xf numFmtId="172" fontId="5" fillId="0" borderId="37" xfId="0" applyNumberFormat="1" applyFont="1" applyBorder="1" applyAlignment="1" applyProtection="1">
      <alignment horizontal="right" vertical="center"/>
      <protection hidden="1"/>
    </xf>
    <xf numFmtId="176" fontId="5" fillId="0" borderId="31" xfId="0" applyNumberFormat="1" applyFont="1" applyBorder="1" applyAlignment="1" applyProtection="1">
      <alignment horizontal="right" vertical="center"/>
      <protection hidden="1"/>
    </xf>
    <xf numFmtId="177" fontId="5" fillId="0" borderId="31" xfId="0" applyNumberFormat="1" applyFont="1" applyBorder="1" applyAlignment="1" applyProtection="1">
      <alignment horizontal="right" vertical="center"/>
      <protection hidden="1"/>
    </xf>
    <xf numFmtId="2" fontId="5" fillId="0" borderId="31" xfId="0" applyNumberFormat="1" applyFont="1" applyBorder="1" applyAlignment="1" applyProtection="1">
      <alignment horizontal="right" vertical="center"/>
      <protection hidden="1"/>
    </xf>
    <xf numFmtId="173" fontId="5" fillId="0" borderId="31" xfId="0" applyNumberFormat="1" applyFont="1" applyBorder="1" applyAlignment="1" applyProtection="1">
      <alignment horizontal="right" vertical="center"/>
      <protection hidden="1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6" fillId="0" borderId="75" xfId="0" applyFont="1" applyBorder="1" applyAlignment="1" applyProtection="1">
      <alignment horizontal="center"/>
      <protection hidden="1"/>
    </xf>
    <xf numFmtId="0" fontId="6" fillId="0" borderId="74" xfId="0" applyFont="1" applyBorder="1" applyAlignment="1" applyProtection="1">
      <alignment horizontal="center"/>
      <protection hidden="1"/>
    </xf>
    <xf numFmtId="0" fontId="6" fillId="0" borderId="80" xfId="0" applyFont="1" applyBorder="1" applyAlignment="1" applyProtection="1">
      <alignment horizontal="center"/>
      <protection hidden="1"/>
    </xf>
    <xf numFmtId="0" fontId="6" fillId="0" borderId="81" xfId="0" applyFont="1" applyBorder="1" applyAlignment="1" applyProtection="1">
      <alignment horizontal="center"/>
      <protection hidden="1"/>
    </xf>
    <xf numFmtId="165" fontId="6" fillId="0" borderId="92" xfId="0" applyNumberFormat="1" applyFont="1" applyBorder="1" applyAlignment="1" applyProtection="1">
      <alignment horizontal="center"/>
      <protection hidden="1"/>
    </xf>
    <xf numFmtId="165" fontId="6" fillId="0" borderId="93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vertical="top"/>
      <protection hidden="1"/>
    </xf>
    <xf numFmtId="0" fontId="33" fillId="2" borderId="61" xfId="0" applyFont="1" applyFill="1" applyBorder="1" applyAlignment="1" applyProtection="1">
      <alignment horizontal="right"/>
      <protection hidden="1"/>
    </xf>
    <xf numFmtId="0" fontId="25" fillId="0" borderId="61" xfId="0" applyFont="1" applyFill="1" applyBorder="1" applyAlignment="1" applyProtection="1">
      <alignment horizontal="right"/>
      <protection hidden="1"/>
    </xf>
    <xf numFmtId="0" fontId="35" fillId="0" borderId="61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4" fillId="0" borderId="71" xfId="0" applyFont="1" applyFill="1" applyBorder="1" applyAlignment="1" applyProtection="1">
      <alignment horizontal="right"/>
      <protection hidden="1"/>
    </xf>
    <xf numFmtId="167" fontId="5" fillId="0" borderId="97" xfId="0" applyNumberFormat="1" applyFont="1" applyBorder="1" applyAlignment="1" applyProtection="1">
      <alignment horizontal="center" vertical="center"/>
      <protection hidden="1"/>
    </xf>
    <xf numFmtId="0" fontId="5" fillId="0" borderId="99" xfId="0" applyFont="1" applyFill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02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protection hidden="1"/>
    </xf>
    <xf numFmtId="179" fontId="22" fillId="0" borderId="34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Alignment="1" applyProtection="1">
      <alignment horizontal="right"/>
      <protection hidden="1"/>
    </xf>
    <xf numFmtId="180" fontId="0" fillId="2" borderId="41" xfId="0" applyNumberFormat="1" applyFill="1" applyBorder="1" applyAlignment="1" applyProtection="1">
      <alignment horizontal="center"/>
      <protection locked="0"/>
    </xf>
    <xf numFmtId="17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107" xfId="0" applyFont="1" applyBorder="1" applyAlignment="1" applyProtection="1">
      <alignment vertical="center"/>
      <protection hidden="1"/>
    </xf>
    <xf numFmtId="0" fontId="5" fillId="0" borderId="108" xfId="0" applyFont="1" applyBorder="1" applyAlignment="1" applyProtection="1">
      <alignment vertical="center"/>
      <protection hidden="1"/>
    </xf>
    <xf numFmtId="166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10" xfId="0" applyFont="1" applyBorder="1" applyAlignment="1" applyProtection="1">
      <alignment horizontal="center" vertical="center"/>
      <protection hidden="1"/>
    </xf>
    <xf numFmtId="166" fontId="5" fillId="0" borderId="0" xfId="0" applyNumberFormat="1" applyFont="1" applyBorder="1" applyAlignment="1" applyProtection="1">
      <alignment horizontal="left" vertical="center"/>
      <protection hidden="1"/>
    </xf>
    <xf numFmtId="174" fontId="5" fillId="0" borderId="110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Protection="1">
      <protection hidden="1"/>
    </xf>
    <xf numFmtId="174" fontId="5" fillId="0" borderId="110" xfId="0" applyNumberFormat="1" applyFont="1" applyFill="1" applyBorder="1" applyAlignment="1" applyProtection="1">
      <alignment horizontal="center" vertical="center"/>
      <protection hidden="1"/>
    </xf>
    <xf numFmtId="0" fontId="5" fillId="0" borderId="109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110" xfId="0" applyFont="1" applyBorder="1" applyProtection="1">
      <protection hidden="1"/>
    </xf>
    <xf numFmtId="0" fontId="0" fillId="0" borderId="109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10" xfId="0" applyBorder="1" applyProtection="1">
      <protection hidden="1"/>
    </xf>
    <xf numFmtId="0" fontId="0" fillId="0" borderId="111" xfId="0" applyBorder="1" applyProtection="1">
      <protection hidden="1"/>
    </xf>
    <xf numFmtId="0" fontId="0" fillId="0" borderId="112" xfId="0" applyBorder="1" applyProtection="1">
      <protection hidden="1"/>
    </xf>
    <xf numFmtId="0" fontId="0" fillId="0" borderId="112" xfId="0" applyBorder="1" applyAlignment="1" applyProtection="1">
      <alignment horizontal="right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113" xfId="0" applyBorder="1" applyProtection="1">
      <protection hidden="1"/>
    </xf>
    <xf numFmtId="0" fontId="41" fillId="0" borderId="114" xfId="0" applyFont="1" applyFill="1" applyBorder="1" applyAlignment="1" applyProtection="1">
      <alignment horizontal="center"/>
      <protection hidden="1"/>
    </xf>
    <xf numFmtId="0" fontId="42" fillId="0" borderId="115" xfId="0" applyFont="1" applyFill="1" applyBorder="1" applyAlignment="1" applyProtection="1">
      <alignment horizontal="center"/>
      <protection hidden="1"/>
    </xf>
    <xf numFmtId="0" fontId="43" fillId="0" borderId="115" xfId="0" applyFont="1" applyFill="1" applyBorder="1" applyAlignment="1" applyProtection="1">
      <alignment horizontal="center"/>
      <protection hidden="1"/>
    </xf>
    <xf numFmtId="0" fontId="41" fillId="0" borderId="115" xfId="0" applyFont="1" applyFill="1" applyBorder="1" applyAlignment="1" applyProtection="1">
      <alignment horizontal="center"/>
      <protection hidden="1"/>
    </xf>
    <xf numFmtId="181" fontId="5" fillId="0" borderId="117" xfId="0" applyNumberFormat="1" applyFont="1" applyFill="1" applyBorder="1" applyAlignment="1" applyProtection="1">
      <alignment horizontal="center"/>
      <protection hidden="1"/>
    </xf>
    <xf numFmtId="2" fontId="0" fillId="0" borderId="118" xfId="0" applyNumberFormat="1" applyFont="1" applyBorder="1" applyAlignment="1" applyProtection="1">
      <alignment horizontal="center"/>
      <protection hidden="1"/>
    </xf>
    <xf numFmtId="2" fontId="45" fillId="0" borderId="118" xfId="0" applyNumberFormat="1" applyFont="1" applyFill="1" applyBorder="1" applyAlignment="1" applyProtection="1">
      <alignment horizontal="center"/>
      <protection hidden="1"/>
    </xf>
    <xf numFmtId="2" fontId="39" fillId="0" borderId="118" xfId="0" applyNumberFormat="1" applyFont="1" applyFill="1" applyBorder="1" applyAlignment="1" applyProtection="1">
      <alignment horizontal="center"/>
      <protection hidden="1"/>
    </xf>
    <xf numFmtId="2" fontId="46" fillId="4" borderId="118" xfId="0" applyNumberFormat="1" applyFont="1" applyFill="1" applyBorder="1" applyAlignment="1" applyProtection="1">
      <alignment horizontal="center"/>
      <protection hidden="1"/>
    </xf>
    <xf numFmtId="0" fontId="0" fillId="0" borderId="119" xfId="0" applyFill="1" applyBorder="1" applyProtection="1">
      <protection hidden="1"/>
    </xf>
    <xf numFmtId="181" fontId="6" fillId="0" borderId="120" xfId="0" applyNumberFormat="1" applyFont="1" applyFill="1" applyBorder="1" applyAlignment="1" applyProtection="1">
      <alignment horizontal="center"/>
      <protection hidden="1"/>
    </xf>
    <xf numFmtId="2" fontId="6" fillId="0" borderId="121" xfId="0" applyNumberFormat="1" applyFont="1" applyBorder="1" applyAlignment="1" applyProtection="1">
      <alignment horizontal="center"/>
      <protection hidden="1"/>
    </xf>
    <xf numFmtId="2" fontId="47" fillId="0" borderId="121" xfId="0" applyNumberFormat="1" applyFont="1" applyFill="1" applyBorder="1" applyAlignment="1" applyProtection="1">
      <alignment horizontal="center"/>
      <protection hidden="1"/>
    </xf>
    <xf numFmtId="2" fontId="48" fillId="0" borderId="121" xfId="0" applyNumberFormat="1" applyFont="1" applyFill="1" applyBorder="1" applyAlignment="1" applyProtection="1">
      <alignment horizontal="center"/>
      <protection hidden="1"/>
    </xf>
    <xf numFmtId="2" fontId="49" fillId="4" borderId="121" xfId="0" applyNumberFormat="1" applyFont="1" applyFill="1" applyBorder="1" applyAlignment="1" applyProtection="1">
      <alignment horizontal="center"/>
      <protection hidden="1"/>
    </xf>
    <xf numFmtId="0" fontId="0" fillId="0" borderId="122" xfId="0" applyFill="1" applyBorder="1" applyProtection="1">
      <protection hidden="1"/>
    </xf>
    <xf numFmtId="181" fontId="16" fillId="2" borderId="120" xfId="0" applyNumberFormat="1" applyFont="1" applyFill="1" applyBorder="1" applyAlignment="1" applyProtection="1">
      <alignment horizontal="center"/>
      <protection hidden="1"/>
    </xf>
    <xf numFmtId="2" fontId="6" fillId="2" borderId="121" xfId="0" applyNumberFormat="1" applyFont="1" applyFill="1" applyBorder="1" applyAlignment="1" applyProtection="1">
      <alignment horizontal="center"/>
      <protection hidden="1"/>
    </xf>
    <xf numFmtId="2" fontId="47" fillId="2" borderId="121" xfId="0" applyNumberFormat="1" applyFont="1" applyFill="1" applyBorder="1" applyAlignment="1" applyProtection="1">
      <alignment horizontal="center"/>
      <protection hidden="1"/>
    </xf>
    <xf numFmtId="2" fontId="48" fillId="2" borderId="121" xfId="0" applyNumberFormat="1" applyFont="1" applyFill="1" applyBorder="1" applyAlignment="1" applyProtection="1">
      <alignment horizontal="center"/>
      <protection hidden="1"/>
    </xf>
    <xf numFmtId="2" fontId="49" fillId="2" borderId="121" xfId="0" applyNumberFormat="1" applyFont="1" applyFill="1" applyBorder="1" applyAlignment="1" applyProtection="1">
      <alignment horizontal="center"/>
      <protection hidden="1"/>
    </xf>
    <xf numFmtId="0" fontId="0" fillId="0" borderId="123" xfId="0" applyFill="1" applyBorder="1" applyProtection="1">
      <protection hidden="1"/>
    </xf>
    <xf numFmtId="181" fontId="6" fillId="0" borderId="117" xfId="0" applyNumberFormat="1" applyFont="1" applyFill="1" applyBorder="1" applyAlignment="1" applyProtection="1">
      <alignment horizontal="center"/>
      <protection hidden="1"/>
    </xf>
    <xf numFmtId="182" fontId="6" fillId="0" borderId="118" xfId="0" applyNumberFormat="1" applyFont="1" applyBorder="1" applyAlignment="1" applyProtection="1">
      <alignment horizontal="center"/>
      <protection hidden="1"/>
    </xf>
    <xf numFmtId="0" fontId="6" fillId="0" borderId="118" xfId="0" applyFont="1" applyBorder="1" applyAlignment="1" applyProtection="1">
      <alignment horizontal="center"/>
      <protection hidden="1"/>
    </xf>
    <xf numFmtId="2" fontId="6" fillId="0" borderId="118" xfId="0" applyNumberFormat="1" applyFont="1" applyBorder="1" applyAlignment="1" applyProtection="1">
      <alignment horizontal="center"/>
      <protection hidden="1"/>
    </xf>
    <xf numFmtId="0" fontId="47" fillId="0" borderId="118" xfId="0" applyFont="1" applyFill="1" applyBorder="1" applyAlignment="1" applyProtection="1">
      <alignment horizontal="center"/>
      <protection hidden="1"/>
    </xf>
    <xf numFmtId="0" fontId="48" fillId="0" borderId="118" xfId="0" applyFont="1" applyFill="1" applyBorder="1" applyAlignment="1" applyProtection="1">
      <alignment horizontal="center"/>
      <protection hidden="1"/>
    </xf>
    <xf numFmtId="0" fontId="0" fillId="4" borderId="118" xfId="0" applyFill="1" applyBorder="1" applyProtection="1">
      <protection hidden="1"/>
    </xf>
    <xf numFmtId="2" fontId="50" fillId="0" borderId="119" xfId="0" applyNumberFormat="1" applyFont="1" applyFill="1" applyBorder="1" applyAlignment="1" applyProtection="1">
      <alignment horizontal="center"/>
      <protection hidden="1"/>
    </xf>
    <xf numFmtId="181" fontId="6" fillId="0" borderId="124" xfId="0" applyNumberFormat="1" applyFont="1" applyFill="1" applyBorder="1" applyAlignment="1" applyProtection="1">
      <alignment horizontal="center"/>
      <protection hidden="1"/>
    </xf>
    <xf numFmtId="0" fontId="6" fillId="0" borderId="125" xfId="0" applyFont="1" applyBorder="1" applyAlignment="1" applyProtection="1">
      <alignment horizontal="center"/>
      <protection hidden="1"/>
    </xf>
    <xf numFmtId="2" fontId="6" fillId="0" borderId="125" xfId="0" applyNumberFormat="1" applyFont="1" applyBorder="1" applyAlignment="1" applyProtection="1">
      <alignment horizontal="center"/>
      <protection hidden="1"/>
    </xf>
    <xf numFmtId="0" fontId="47" fillId="0" borderId="125" xfId="0" applyFont="1" applyFill="1" applyBorder="1" applyAlignment="1" applyProtection="1">
      <alignment horizontal="center"/>
      <protection hidden="1"/>
    </xf>
    <xf numFmtId="0" fontId="48" fillId="0" borderId="125" xfId="0" applyFont="1" applyFill="1" applyBorder="1" applyAlignment="1" applyProtection="1">
      <alignment horizontal="center"/>
      <protection hidden="1"/>
    </xf>
    <xf numFmtId="0" fontId="0" fillId="4" borderId="125" xfId="0" applyFill="1" applyBorder="1" applyProtection="1">
      <protection hidden="1"/>
    </xf>
    <xf numFmtId="2" fontId="50" fillId="0" borderId="126" xfId="0" applyNumberFormat="1" applyFont="1" applyFill="1" applyBorder="1" applyAlignment="1" applyProtection="1">
      <alignment horizontal="center"/>
      <protection hidden="1"/>
    </xf>
    <xf numFmtId="0" fontId="23" fillId="0" borderId="115" xfId="0" applyFont="1" applyFill="1" applyBorder="1" applyAlignment="1" applyProtection="1">
      <alignment horizontal="center" vertical="center"/>
      <protection hidden="1"/>
    </xf>
    <xf numFmtId="0" fontId="44" fillId="0" borderId="116" xfId="0" applyFont="1" applyFill="1" applyBorder="1" applyAlignment="1" applyProtection="1">
      <alignment horizontal="center" vertical="center"/>
      <protection hidden="1"/>
    </xf>
    <xf numFmtId="174" fontId="6" fillId="0" borderId="45" xfId="0" applyNumberFormat="1" applyFont="1" applyBorder="1" applyAlignment="1" applyProtection="1">
      <alignment horizontal="right" vertical="center"/>
      <protection hidden="1"/>
    </xf>
    <xf numFmtId="174" fontId="6" fillId="2" borderId="45" xfId="0" applyNumberFormat="1" applyFont="1" applyFill="1" applyBorder="1" applyAlignment="1" applyProtection="1">
      <alignment horizontal="right" vertical="center"/>
      <protection hidden="1"/>
    </xf>
    <xf numFmtId="174" fontId="6" fillId="0" borderId="45" xfId="0" applyNumberFormat="1" applyFont="1" applyFill="1" applyBorder="1" applyAlignment="1" applyProtection="1">
      <alignment horizontal="right" vertical="center"/>
      <protection hidden="1"/>
    </xf>
    <xf numFmtId="174" fontId="6" fillId="0" borderId="72" xfId="0" applyNumberFormat="1" applyFont="1" applyFill="1" applyBorder="1" applyAlignment="1" applyProtection="1">
      <alignment horizontal="right" vertical="center"/>
      <protection hidden="1"/>
    </xf>
    <xf numFmtId="178" fontId="6" fillId="0" borderId="45" xfId="0" applyNumberFormat="1" applyFont="1" applyFill="1" applyBorder="1" applyAlignment="1" applyProtection="1">
      <alignment horizontal="right" vertical="center"/>
      <protection hidden="1"/>
    </xf>
    <xf numFmtId="174" fontId="6" fillId="0" borderId="64" xfId="0" applyNumberFormat="1" applyFont="1" applyFill="1" applyBorder="1" applyAlignment="1" applyProtection="1">
      <alignment horizontal="right" vertical="center"/>
      <protection hidden="1"/>
    </xf>
    <xf numFmtId="171" fontId="13" fillId="0" borderId="26" xfId="0" applyNumberFormat="1" applyFont="1" applyFill="1" applyBorder="1" applyAlignment="1" applyProtection="1">
      <alignment horizontal="right" vertical="center"/>
      <protection hidden="1"/>
    </xf>
    <xf numFmtId="171" fontId="13" fillId="2" borderId="62" xfId="0" applyNumberFormat="1" applyFont="1" applyFill="1" applyBorder="1" applyAlignment="1" applyProtection="1">
      <alignment horizontal="right" vertical="center"/>
      <protection hidden="1"/>
    </xf>
    <xf numFmtId="171" fontId="6" fillId="0" borderId="62" xfId="0" applyNumberFormat="1" applyFont="1" applyFill="1" applyBorder="1" applyAlignment="1" applyProtection="1">
      <alignment horizontal="right" vertical="center"/>
      <protection hidden="1"/>
    </xf>
    <xf numFmtId="171" fontId="6" fillId="2" borderId="62" xfId="0" applyNumberFormat="1" applyFont="1" applyFill="1" applyBorder="1" applyAlignment="1" applyProtection="1">
      <alignment horizontal="right" vertical="center"/>
      <protection hidden="1"/>
    </xf>
    <xf numFmtId="171" fontId="13" fillId="0" borderId="62" xfId="0" applyNumberFormat="1" applyFont="1" applyFill="1" applyBorder="1" applyAlignment="1" applyProtection="1">
      <alignment horizontal="right" vertical="center"/>
      <protection hidden="1"/>
    </xf>
    <xf numFmtId="171" fontId="6" fillId="0" borderId="73" xfId="0" applyNumberFormat="1" applyFont="1" applyFill="1" applyBorder="1" applyAlignment="1" applyProtection="1">
      <alignment horizontal="right" vertical="center"/>
      <protection hidden="1"/>
    </xf>
    <xf numFmtId="171" fontId="38" fillId="0" borderId="62" xfId="0" applyNumberFormat="1" applyFont="1" applyFill="1" applyBorder="1" applyAlignment="1" applyProtection="1">
      <alignment horizontal="right" vertical="center"/>
      <protection hidden="1"/>
    </xf>
    <xf numFmtId="171" fontId="38" fillId="0" borderId="27" xfId="0" applyNumberFormat="1" applyFont="1" applyFill="1" applyBorder="1" applyAlignment="1" applyProtection="1">
      <alignment horizontal="right" vertical="center"/>
      <protection hidden="1"/>
    </xf>
    <xf numFmtId="178" fontId="0" fillId="0" borderId="60" xfId="0" applyNumberFormat="1" applyBorder="1" applyAlignment="1" applyProtection="1">
      <alignment horizontal="right" vertical="center"/>
      <protection hidden="1"/>
    </xf>
    <xf numFmtId="171" fontId="26" fillId="0" borderId="26" xfId="0" applyNumberFormat="1" applyFont="1" applyFill="1" applyBorder="1" applyAlignment="1" applyProtection="1">
      <alignment horizontal="right" vertical="center"/>
      <protection hidden="1"/>
    </xf>
    <xf numFmtId="178" fontId="0" fillId="3" borderId="64" xfId="0" applyNumberFormat="1" applyFill="1" applyBorder="1" applyAlignment="1" applyProtection="1">
      <alignment horizontal="right" vertical="center"/>
      <protection hidden="1"/>
    </xf>
    <xf numFmtId="171" fontId="26" fillId="3" borderId="27" xfId="0" applyNumberFormat="1" applyFont="1" applyFill="1" applyBorder="1" applyAlignment="1" applyProtection="1">
      <alignment horizontal="right" vertical="center"/>
      <protection hidden="1"/>
    </xf>
    <xf numFmtId="165" fontId="6" fillId="0" borderId="89" xfId="0" applyNumberFormat="1" applyFont="1" applyBorder="1" applyAlignment="1" applyProtection="1">
      <alignment horizontal="right"/>
      <protection hidden="1"/>
    </xf>
    <xf numFmtId="165" fontId="6" fillId="0" borderId="90" xfId="0" applyNumberFormat="1" applyFont="1" applyBorder="1" applyAlignment="1" applyProtection="1">
      <alignment horizontal="right"/>
      <protection hidden="1"/>
    </xf>
    <xf numFmtId="0" fontId="0" fillId="0" borderId="82" xfId="0" applyFont="1" applyBorder="1" applyAlignment="1">
      <alignment horizontal="right"/>
    </xf>
    <xf numFmtId="174" fontId="6" fillId="0" borderId="83" xfId="0" applyNumberFormat="1" applyFont="1" applyBorder="1" applyAlignment="1">
      <alignment horizontal="right"/>
    </xf>
    <xf numFmtId="174" fontId="6" fillId="0" borderId="84" xfId="0" applyNumberFormat="1" applyFont="1" applyBorder="1" applyAlignment="1">
      <alignment horizontal="right"/>
    </xf>
    <xf numFmtId="164" fontId="6" fillId="0" borderId="83" xfId="0" applyNumberFormat="1" applyFont="1" applyBorder="1" applyAlignment="1">
      <alignment horizontal="right"/>
    </xf>
    <xf numFmtId="164" fontId="6" fillId="0" borderId="84" xfId="0" applyNumberFormat="1" applyFont="1" applyBorder="1" applyAlignment="1">
      <alignment horizontal="right"/>
    </xf>
    <xf numFmtId="0" fontId="10" fillId="0" borderId="82" xfId="0" applyFont="1" applyBorder="1" applyAlignment="1">
      <alignment horizontal="right"/>
    </xf>
    <xf numFmtId="0" fontId="10" fillId="0" borderId="94" xfId="0" applyFont="1" applyBorder="1" applyAlignment="1">
      <alignment horizontal="right"/>
    </xf>
    <xf numFmtId="164" fontId="6" fillId="0" borderId="95" xfId="0" applyNumberFormat="1" applyFont="1" applyBorder="1" applyAlignment="1">
      <alignment horizontal="right"/>
    </xf>
    <xf numFmtId="164" fontId="6" fillId="0" borderId="96" xfId="0" applyNumberFormat="1" applyFont="1" applyBorder="1" applyAlignment="1">
      <alignment horizontal="right"/>
    </xf>
    <xf numFmtId="0" fontId="0" fillId="0" borderId="85" xfId="0" applyFont="1" applyBorder="1" applyAlignment="1">
      <alignment horizontal="right"/>
    </xf>
    <xf numFmtId="164" fontId="6" fillId="0" borderId="86" xfId="0" applyNumberFormat="1" applyFont="1" applyBorder="1" applyAlignment="1">
      <alignment horizontal="right"/>
    </xf>
    <xf numFmtId="164" fontId="6" fillId="0" borderId="87" xfId="0" applyNumberFormat="1" applyFont="1" applyBorder="1" applyAlignment="1">
      <alignment horizontal="right"/>
    </xf>
    <xf numFmtId="0" fontId="0" fillId="0" borderId="88" xfId="0" applyFont="1" applyBorder="1" applyAlignment="1">
      <alignment horizontal="right"/>
    </xf>
    <xf numFmtId="0" fontId="10" fillId="0" borderId="85" xfId="0" applyFont="1" applyBorder="1" applyAlignment="1">
      <alignment horizontal="right"/>
    </xf>
    <xf numFmtId="164" fontId="16" fillId="0" borderId="86" xfId="0" applyNumberFormat="1" applyFont="1" applyBorder="1" applyAlignment="1">
      <alignment horizontal="right"/>
    </xf>
    <xf numFmtId="164" fontId="16" fillId="0" borderId="87" xfId="0" applyNumberFormat="1" applyFont="1" applyBorder="1" applyAlignment="1">
      <alignment horizontal="right"/>
    </xf>
    <xf numFmtId="0" fontId="6" fillId="0" borderId="78" xfId="0" applyFont="1" applyBorder="1" applyAlignment="1">
      <alignment horizontal="right" vertical="center"/>
    </xf>
    <xf numFmtId="183" fontId="6" fillId="0" borderId="79" xfId="0" applyNumberFormat="1" applyFont="1" applyBorder="1" applyAlignment="1">
      <alignment horizontal="right"/>
    </xf>
    <xf numFmtId="0" fontId="6" fillId="0" borderId="74" xfId="0" applyFont="1" applyBorder="1" applyAlignment="1">
      <alignment horizontal="right" vertical="center"/>
    </xf>
    <xf numFmtId="183" fontId="6" fillId="0" borderId="75" xfId="0" applyNumberFormat="1" applyFont="1" applyBorder="1" applyAlignment="1">
      <alignment horizontal="right"/>
    </xf>
    <xf numFmtId="0" fontId="6" fillId="0" borderId="74" xfId="0" applyFont="1" applyBorder="1" applyAlignment="1" applyProtection="1">
      <alignment horizontal="right" vertical="center"/>
      <protection hidden="1"/>
    </xf>
    <xf numFmtId="0" fontId="6" fillId="0" borderId="75" xfId="0" applyFont="1" applyBorder="1" applyAlignment="1" applyProtection="1">
      <alignment horizontal="right"/>
      <protection hidden="1"/>
    </xf>
    <xf numFmtId="184" fontId="6" fillId="0" borderId="75" xfId="0" applyNumberFormat="1" applyFont="1" applyBorder="1" applyAlignment="1">
      <alignment horizontal="right"/>
    </xf>
    <xf numFmtId="0" fontId="0" fillId="0" borderId="88" xfId="0" applyFont="1" applyBorder="1" applyAlignment="1" applyProtection="1">
      <alignment horizontal="right"/>
      <protection hidden="1"/>
    </xf>
    <xf numFmtId="0" fontId="6" fillId="0" borderId="91" xfId="0" applyFont="1" applyBorder="1" applyAlignment="1" applyProtection="1">
      <alignment horizontal="center"/>
      <protection hidden="1"/>
    </xf>
    <xf numFmtId="0" fontId="6" fillId="0" borderId="76" xfId="0" applyFont="1" applyBorder="1" applyAlignment="1">
      <alignment horizontal="right" vertical="center"/>
    </xf>
    <xf numFmtId="0" fontId="6" fillId="0" borderId="11" xfId="0" applyFont="1" applyBorder="1" applyAlignment="1" applyProtection="1">
      <alignment horizontal="right"/>
      <protection hidden="1"/>
    </xf>
    <xf numFmtId="177" fontId="6" fillId="0" borderId="12" xfId="0" applyNumberFormat="1" applyFont="1" applyBorder="1" applyAlignment="1" applyProtection="1">
      <alignment horizontal="right"/>
      <protection hidden="1"/>
    </xf>
    <xf numFmtId="0" fontId="6" fillId="0" borderId="16" xfId="0" applyFont="1" applyBorder="1" applyAlignment="1" applyProtection="1">
      <alignment horizontal="right"/>
      <protection hidden="1"/>
    </xf>
    <xf numFmtId="177" fontId="6" fillId="0" borderId="17" xfId="0" applyNumberFormat="1" applyFont="1" applyBorder="1" applyAlignment="1" applyProtection="1">
      <alignment horizontal="right"/>
      <protection hidden="1"/>
    </xf>
    <xf numFmtId="0" fontId="6" fillId="0" borderId="13" xfId="0" applyFont="1" applyBorder="1" applyAlignment="1" applyProtection="1">
      <alignment horizontal="right"/>
      <protection hidden="1"/>
    </xf>
    <xf numFmtId="177" fontId="6" fillId="0" borderId="14" xfId="0" applyNumberFormat="1" applyFont="1" applyBorder="1" applyAlignment="1" applyProtection="1">
      <alignment horizontal="right"/>
      <protection hidden="1"/>
    </xf>
    <xf numFmtId="178" fontId="6" fillId="0" borderId="90" xfId="0" applyNumberFormat="1" applyFont="1" applyBorder="1" applyAlignment="1">
      <alignment horizontal="right" vertical="center"/>
    </xf>
    <xf numFmtId="178" fontId="6" fillId="0" borderId="86" xfId="0" applyNumberFormat="1" applyFont="1" applyBorder="1" applyAlignment="1">
      <alignment horizontal="right" vertical="center"/>
    </xf>
    <xf numFmtId="178" fontId="6" fillId="0" borderId="87" xfId="0" applyNumberFormat="1" applyFont="1" applyBorder="1" applyAlignment="1">
      <alignment horizontal="right" vertical="center"/>
    </xf>
    <xf numFmtId="185" fontId="16" fillId="0" borderId="77" xfId="0" applyNumberFormat="1" applyFont="1" applyBorder="1" applyAlignment="1">
      <alignment horizontal="center" vertical="center"/>
    </xf>
    <xf numFmtId="0" fontId="3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176" fontId="6" fillId="0" borderId="44" xfId="0" applyNumberFormat="1" applyFont="1" applyBorder="1" applyAlignment="1" applyProtection="1">
      <alignment horizontal="center"/>
      <protection hidden="1"/>
    </xf>
    <xf numFmtId="176" fontId="6" fillId="0" borderId="48" xfId="0" applyNumberFormat="1" applyFont="1" applyBorder="1" applyAlignment="1" applyProtection="1">
      <alignment horizontal="center"/>
      <protection hidden="1"/>
    </xf>
    <xf numFmtId="176" fontId="0" fillId="0" borderId="48" xfId="0" applyNumberFormat="1" applyBorder="1" applyAlignment="1" applyProtection="1">
      <alignment horizontal="center"/>
      <protection hidden="1"/>
    </xf>
    <xf numFmtId="176" fontId="6" fillId="0" borderId="52" xfId="0" applyNumberFormat="1" applyFont="1" applyBorder="1" applyAlignment="1" applyProtection="1">
      <alignment horizontal="center"/>
      <protection hidden="1"/>
    </xf>
    <xf numFmtId="176" fontId="6" fillId="0" borderId="43" xfId="0" applyNumberFormat="1" applyFont="1" applyBorder="1" applyAlignment="1" applyProtection="1">
      <alignment horizontal="center"/>
      <protection hidden="1"/>
    </xf>
    <xf numFmtId="176" fontId="6" fillId="0" borderId="46" xfId="0" applyNumberFormat="1" applyFont="1" applyBorder="1" applyAlignment="1" applyProtection="1">
      <alignment horizontal="center"/>
      <protection hidden="1"/>
    </xf>
    <xf numFmtId="176" fontId="6" fillId="0" borderId="50" xfId="0" applyNumberFormat="1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 vertical="center"/>
      <protection hidden="1"/>
    </xf>
    <xf numFmtId="186" fontId="0" fillId="0" borderId="0" xfId="0" applyNumberFormat="1"/>
    <xf numFmtId="2" fontId="6" fillId="0" borderId="0" xfId="0" applyNumberFormat="1" applyFont="1"/>
    <xf numFmtId="187" fontId="0" fillId="0" borderId="0" xfId="0" applyNumberFormat="1"/>
    <xf numFmtId="164" fontId="16" fillId="0" borderId="90" xfId="0" applyNumberFormat="1" applyFont="1" applyBorder="1" applyAlignment="1" applyProtection="1">
      <alignment horizontal="right"/>
      <protection hidden="1"/>
    </xf>
    <xf numFmtId="0" fontId="0" fillId="0" borderId="127" xfId="0" applyFont="1" applyBorder="1" applyAlignment="1">
      <alignment horizontal="right"/>
    </xf>
    <xf numFmtId="164" fontId="6" fillId="0" borderId="128" xfId="0" applyNumberFormat="1" applyFon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0" fillId="0" borderId="0" xfId="0" applyFont="1" applyProtection="1">
      <protection hidden="1"/>
    </xf>
    <xf numFmtId="173" fontId="5" fillId="2" borderId="129" xfId="0" applyNumberFormat="1" applyFont="1" applyFill="1" applyBorder="1" applyAlignment="1" applyProtection="1">
      <alignment horizontal="center" vertical="center"/>
      <protection locked="0"/>
    </xf>
    <xf numFmtId="0" fontId="6" fillId="2" borderId="130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Protection="1">
      <protection hidden="1"/>
    </xf>
    <xf numFmtId="0" fontId="5" fillId="0" borderId="0" xfId="0" applyFont="1"/>
    <xf numFmtId="173" fontId="6" fillId="0" borderId="51" xfId="0" applyNumberFormat="1" applyFont="1" applyBorder="1" applyAlignment="1" applyProtection="1">
      <alignment horizontal="right"/>
      <protection hidden="1"/>
    </xf>
    <xf numFmtId="173" fontId="6" fillId="0" borderId="50" xfId="0" applyNumberFormat="1" applyFont="1" applyBorder="1" applyAlignment="1" applyProtection="1">
      <alignment horizontal="right"/>
      <protection hidden="1"/>
    </xf>
    <xf numFmtId="168" fontId="18" fillId="0" borderId="5" xfId="0" applyNumberFormat="1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right"/>
      <protection hidden="1"/>
    </xf>
    <xf numFmtId="0" fontId="6" fillId="0" borderId="19" xfId="0" applyFont="1" applyBorder="1" applyAlignment="1" applyProtection="1">
      <alignment horizontal="right"/>
      <protection hidden="1"/>
    </xf>
    <xf numFmtId="0" fontId="6" fillId="0" borderId="28" xfId="0" applyFont="1" applyBorder="1" applyAlignment="1" applyProtection="1">
      <alignment horizontal="right"/>
      <protection hidden="1"/>
    </xf>
    <xf numFmtId="168" fontId="6" fillId="2" borderId="1" xfId="0" applyNumberFormat="1" applyFont="1" applyFill="1" applyBorder="1" applyAlignment="1" applyProtection="1">
      <alignment horizontal="center" vertical="center"/>
      <protection locked="0"/>
    </xf>
    <xf numFmtId="168" fontId="6" fillId="2" borderId="3" xfId="0" applyNumberFormat="1" applyFont="1" applyFill="1" applyBorder="1" applyAlignment="1" applyProtection="1">
      <alignment horizontal="center" vertical="center"/>
      <protection locked="0"/>
    </xf>
    <xf numFmtId="169" fontId="6" fillId="0" borderId="1" xfId="0" applyNumberFormat="1" applyFont="1" applyFill="1" applyBorder="1" applyAlignment="1" applyProtection="1">
      <alignment horizontal="center" vertical="center"/>
      <protection hidden="1"/>
    </xf>
    <xf numFmtId="169" fontId="6" fillId="0" borderId="3" xfId="0" applyNumberFormat="1" applyFont="1" applyFill="1" applyBorder="1" applyAlignment="1" applyProtection="1">
      <alignment horizontal="center" vertical="center"/>
      <protection hidden="1"/>
    </xf>
    <xf numFmtId="169" fontId="6" fillId="2" borderId="1" xfId="0" applyNumberFormat="1" applyFont="1" applyFill="1" applyBorder="1" applyAlignment="1" applyProtection="1">
      <alignment horizontal="center" vertical="center"/>
      <protection locked="0"/>
    </xf>
    <xf numFmtId="16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/>
      <protection hidden="1"/>
    </xf>
    <xf numFmtId="0" fontId="6" fillId="0" borderId="21" xfId="0" applyFont="1" applyBorder="1" applyAlignment="1" applyProtection="1">
      <alignment horizontal="right"/>
      <protection hidden="1"/>
    </xf>
    <xf numFmtId="0" fontId="6" fillId="0" borderId="29" xfId="0" applyFont="1" applyBorder="1" applyAlignment="1" applyProtection="1">
      <alignment horizontal="right"/>
      <protection hidden="1"/>
    </xf>
    <xf numFmtId="168" fontId="6" fillId="0" borderId="1" xfId="0" applyNumberFormat="1" applyFont="1" applyBorder="1" applyAlignment="1" applyProtection="1">
      <alignment horizontal="center"/>
      <protection hidden="1"/>
    </xf>
    <xf numFmtId="168" fontId="6" fillId="0" borderId="2" xfId="0" applyNumberFormat="1" applyFont="1" applyBorder="1" applyAlignment="1" applyProtection="1">
      <alignment horizontal="center"/>
      <protection hidden="1"/>
    </xf>
    <xf numFmtId="168" fontId="6" fillId="0" borderId="3" xfId="0" applyNumberFormat="1" applyFont="1" applyBorder="1" applyAlignment="1" applyProtection="1">
      <alignment horizontal="center"/>
      <protection hidden="1"/>
    </xf>
    <xf numFmtId="173" fontId="6" fillId="0" borderId="47" xfId="0" applyNumberFormat="1" applyFont="1" applyBorder="1" applyAlignment="1" applyProtection="1">
      <alignment horizontal="right"/>
      <protection hidden="1"/>
    </xf>
    <xf numFmtId="173" fontId="6" fillId="0" borderId="46" xfId="0" applyNumberFormat="1" applyFont="1" applyBorder="1" applyAlignment="1" applyProtection="1">
      <alignment horizontal="right"/>
      <protection hidden="1"/>
    </xf>
    <xf numFmtId="0" fontId="22" fillId="0" borderId="98" xfId="0" applyFont="1" applyBorder="1" applyAlignment="1" applyProtection="1">
      <alignment horizontal="center" vertical="center"/>
      <protection hidden="1"/>
    </xf>
    <xf numFmtId="0" fontId="22" fillId="0" borderId="101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right" vertical="center"/>
      <protection hidden="1"/>
    </xf>
    <xf numFmtId="0" fontId="6" fillId="0" borderId="3" xfId="0" applyFont="1" applyFill="1" applyBorder="1" applyAlignment="1" applyProtection="1">
      <alignment horizontal="righ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73" fontId="6" fillId="0" borderId="65" xfId="0" applyNumberFormat="1" applyFont="1" applyBorder="1" applyAlignment="1" applyProtection="1">
      <alignment horizontal="right"/>
      <protection hidden="1"/>
    </xf>
    <xf numFmtId="173" fontId="6" fillId="0" borderId="66" xfId="0" applyNumberFormat="1" applyFont="1" applyBorder="1" applyAlignment="1" applyProtection="1">
      <alignment horizontal="right"/>
      <protection hidden="1"/>
    </xf>
    <xf numFmtId="0" fontId="32" fillId="0" borderId="2" xfId="0" applyFont="1" applyBorder="1" applyAlignment="1" applyProtection="1">
      <alignment horizontal="right" vertical="center"/>
      <protection hidden="1"/>
    </xf>
    <xf numFmtId="0" fontId="32" fillId="0" borderId="3" xfId="0" applyFont="1" applyBorder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right" vertical="center"/>
      <protection hidden="1"/>
    </xf>
    <xf numFmtId="0" fontId="28" fillId="0" borderId="103" xfId="0" applyFont="1" applyBorder="1" applyAlignment="1" applyProtection="1">
      <alignment horizontal="center" vertical="center"/>
      <protection hidden="1"/>
    </xf>
    <xf numFmtId="0" fontId="28" fillId="0" borderId="104" xfId="0" applyFont="1" applyBorder="1" applyAlignment="1" applyProtection="1">
      <alignment horizontal="center" vertical="center"/>
      <protection hidden="1"/>
    </xf>
    <xf numFmtId="0" fontId="28" fillId="0" borderId="105" xfId="0" applyFont="1" applyBorder="1" applyAlignment="1" applyProtection="1">
      <alignment horizontal="center" vertical="center"/>
      <protection hidden="1"/>
    </xf>
    <xf numFmtId="0" fontId="5" fillId="0" borderId="106" xfId="0" applyFont="1" applyBorder="1" applyAlignment="1" applyProtection="1">
      <alignment horizontal="right" vertical="center"/>
      <protection hidden="1"/>
    </xf>
    <xf numFmtId="0" fontId="5" fillId="0" borderId="107" xfId="0" applyFont="1" applyBorder="1" applyAlignment="1" applyProtection="1">
      <alignment horizontal="right" vertical="center"/>
      <protection hidden="1"/>
    </xf>
    <xf numFmtId="0" fontId="5" fillId="0" borderId="109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</cellXfs>
  <cellStyles count="17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Standard" xfId="0" builtinId="0"/>
  </cellStyles>
  <dxfs count="0"/>
  <tableStyles count="0" defaultTableStyle="TableStyleMedium9" defaultPivotStyle="PivotStyleMedium7"/>
  <colors>
    <mruColors>
      <color rgb="FFFF9000"/>
      <color rgb="FFFDFAD6"/>
      <color rgb="FFFAFDE0"/>
      <color rgb="FFC05C16"/>
      <color rgb="FFFFA1A3"/>
      <color rgb="FFFF65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4"/>
          <c:order val="0"/>
          <c:tx>
            <c:strRef>
              <c:f>Grafik!$O$17</c:f>
              <c:strCache>
                <c:ptCount val="1"/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Grafik!$J$18:$J$60</c:f>
              <c:numCache>
                <c:formatCode>#,##0.00\ _€</c:formatCode>
                <c:ptCount val="43"/>
                <c:pt idx="0">
                  <c:v>42.227591973326199</c:v>
                </c:pt>
                <c:pt idx="1">
                  <c:v>42.2025919733262</c:v>
                </c:pt>
                <c:pt idx="2">
                  <c:v>42.177591973326201</c:v>
                </c:pt>
                <c:pt idx="3">
                  <c:v>42.152591973326203</c:v>
                </c:pt>
                <c:pt idx="4">
                  <c:v>42.127591973326204</c:v>
                </c:pt>
                <c:pt idx="5">
                  <c:v>42.102591973326206</c:v>
                </c:pt>
                <c:pt idx="6">
                  <c:v>42.077591973326207</c:v>
                </c:pt>
                <c:pt idx="7">
                  <c:v>42.052591973326209</c:v>
                </c:pt>
                <c:pt idx="8">
                  <c:v>42.02759197332621</c:v>
                </c:pt>
                <c:pt idx="9">
                  <c:v>42.002591973326211</c:v>
                </c:pt>
                <c:pt idx="10">
                  <c:v>41.977591973326213</c:v>
                </c:pt>
                <c:pt idx="11">
                  <c:v>41.952591973326214</c:v>
                </c:pt>
                <c:pt idx="12">
                  <c:v>41.927591973326216</c:v>
                </c:pt>
                <c:pt idx="13">
                  <c:v>41.902591973326217</c:v>
                </c:pt>
                <c:pt idx="14">
                  <c:v>41.877591973326219</c:v>
                </c:pt>
                <c:pt idx="15">
                  <c:v>41.85259197332622</c:v>
                </c:pt>
                <c:pt idx="16">
                  <c:v>41.827591973326221</c:v>
                </c:pt>
                <c:pt idx="17">
                  <c:v>41.802591973326223</c:v>
                </c:pt>
                <c:pt idx="18">
                  <c:v>41.777591973326224</c:v>
                </c:pt>
                <c:pt idx="19">
                  <c:v>41.752591973326226</c:v>
                </c:pt>
                <c:pt idx="20">
                  <c:v>-2.6317452482213981</c:v>
                </c:pt>
                <c:pt idx="21">
                  <c:v>-2.656745248221398</c:v>
                </c:pt>
                <c:pt idx="22">
                  <c:v>-2.6817452482213979</c:v>
                </c:pt>
                <c:pt idx="23">
                  <c:v>-2.7067452482213978</c:v>
                </c:pt>
                <c:pt idx="24">
                  <c:v>-2.7317452482213977</c:v>
                </c:pt>
                <c:pt idx="25">
                  <c:v>-2.7567452482213977</c:v>
                </c:pt>
                <c:pt idx="26">
                  <c:v>-2.7817452482213976</c:v>
                </c:pt>
                <c:pt idx="27">
                  <c:v>-2.8067452482213975</c:v>
                </c:pt>
                <c:pt idx="28">
                  <c:v>-2.8317452482213974</c:v>
                </c:pt>
                <c:pt idx="29">
                  <c:v>-2.8567452482213973</c:v>
                </c:pt>
                <c:pt idx="30">
                  <c:v>-2.8817452482213972</c:v>
                </c:pt>
                <c:pt idx="31">
                  <c:v>-2.9067452482213971</c:v>
                </c:pt>
                <c:pt idx="32">
                  <c:v>-2.931745248221397</c:v>
                </c:pt>
                <c:pt idx="33">
                  <c:v>-2.9567452482213969</c:v>
                </c:pt>
                <c:pt idx="34">
                  <c:v>-2.9817452482213969</c:v>
                </c:pt>
                <c:pt idx="35">
                  <c:v>-3.0067452482213968</c:v>
                </c:pt>
                <c:pt idx="36">
                  <c:v>-3.0317452482213967</c:v>
                </c:pt>
                <c:pt idx="37">
                  <c:v>-3.0567452482213966</c:v>
                </c:pt>
                <c:pt idx="38">
                  <c:v>-3.0817452482213965</c:v>
                </c:pt>
                <c:pt idx="39">
                  <c:v>-3.1067452482213964</c:v>
                </c:pt>
                <c:pt idx="40">
                  <c:v>-3.1317452482213963</c:v>
                </c:pt>
                <c:pt idx="41">
                  <c:v>-2.6317452482213981</c:v>
                </c:pt>
                <c:pt idx="42">
                  <c:v>-2.6317452482213981</c:v>
                </c:pt>
              </c:numCache>
            </c:numRef>
          </c:xVal>
          <c:yVal>
            <c:numRef>
              <c:f>Grafik!$O$18:$O$60</c:f>
              <c:numCache>
                <c:formatCode>0.00</c:formatCode>
                <c:ptCount val="43"/>
                <c:pt idx="0">
                  <c:v>18.186745345359952</c:v>
                </c:pt>
                <c:pt idx="1">
                  <c:v>18.176238423479447</c:v>
                </c:pt>
                <c:pt idx="2">
                  <c:v>18.165760492067761</c:v>
                </c:pt>
                <c:pt idx="3">
                  <c:v>18.155311496907871</c:v>
                </c:pt>
                <c:pt idx="4">
                  <c:v>18.144891383963568</c:v>
                </c:pt>
                <c:pt idx="5">
                  <c:v>18.134500099379125</c:v>
                </c:pt>
                <c:pt idx="6">
                  <c:v>18.124137589478266</c:v>
                </c:pt>
                <c:pt idx="7">
                  <c:v>18.113803800763549</c:v>
                </c:pt>
                <c:pt idx="8">
                  <c:v>18.103498679915617</c:v>
                </c:pt>
                <c:pt idx="9">
                  <c:v>18.093222173792356</c:v>
                </c:pt>
                <c:pt idx="10">
                  <c:v>18.08297422942843</c:v>
                </c:pt>
                <c:pt idx="11">
                  <c:v>18.072754794034097</c:v>
                </c:pt>
                <c:pt idx="12">
                  <c:v>18.062563814994803</c:v>
                </c:pt>
                <c:pt idx="13">
                  <c:v>18.052401239870562</c:v>
                </c:pt>
                <c:pt idx="14">
                  <c:v>18.042267016394817</c:v>
                </c:pt>
                <c:pt idx="15">
                  <c:v>18.032161092474041</c:v>
                </c:pt>
                <c:pt idx="16">
                  <c:v>18.022083416187115</c:v>
                </c:pt>
                <c:pt idx="17">
                  <c:v>18.012033935784075</c:v>
                </c:pt>
                <c:pt idx="18">
                  <c:v>18.002012599686168</c:v>
                </c:pt>
                <c:pt idx="19">
                  <c:v>17.992019356484491</c:v>
                </c:pt>
                <c:pt idx="20">
                  <c:v>27.453803401256494</c:v>
                </c:pt>
                <c:pt idx="21">
                  <c:v>27.474753810163179</c:v>
                </c:pt>
                <c:pt idx="22">
                  <c:v>27.495734445843937</c:v>
                </c:pt>
                <c:pt idx="23">
                  <c:v>27.516745373469632</c:v>
                </c:pt>
                <c:pt idx="24">
                  <c:v>27.537786658481878</c:v>
                </c:pt>
                <c:pt idx="25">
                  <c:v>27.558858366594848</c:v>
                </c:pt>
                <c:pt idx="26">
                  <c:v>27.57996056379659</c:v>
                </c:pt>
                <c:pt idx="27">
                  <c:v>27.601093316350955</c:v>
                </c:pt>
                <c:pt idx="28">
                  <c:v>27.622256690798508</c:v>
                </c:pt>
                <c:pt idx="29">
                  <c:v>27.643450753958746</c:v>
                </c:pt>
                <c:pt idx="30">
                  <c:v>27.66467557293123</c:v>
                </c:pt>
                <c:pt idx="31">
                  <c:v>27.685931215097412</c:v>
                </c:pt>
                <c:pt idx="32">
                  <c:v>27.707217748122218</c:v>
                </c:pt>
                <c:pt idx="33">
                  <c:v>27.728535239955534</c:v>
                </c:pt>
                <c:pt idx="34">
                  <c:v>27.74988375883396</c:v>
                </c:pt>
                <c:pt idx="35">
                  <c:v>27.771263373282352</c:v>
                </c:pt>
                <c:pt idx="36">
                  <c:v>27.79267415211558</c:v>
                </c:pt>
                <c:pt idx="37">
                  <c:v>27.814116164440122</c:v>
                </c:pt>
                <c:pt idx="38">
                  <c:v>27.835589479655766</c:v>
                </c:pt>
                <c:pt idx="39">
                  <c:v>27.857094167457205</c:v>
                </c:pt>
                <c:pt idx="40">
                  <c:v>27.878630297836025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B8-BA4B-B60E-1C15A8AB85BF}"/>
            </c:ext>
          </c:extLst>
        </c:ser>
        <c:ser>
          <c:idx val="0"/>
          <c:order val="1"/>
          <c:tx>
            <c:strRef>
              <c:f>Grafik!$P$17</c:f>
              <c:strCache>
                <c:ptCount val="1"/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Grafik!$J$18:$J$60</c:f>
              <c:numCache>
                <c:formatCode>#,##0.00\ _€</c:formatCode>
                <c:ptCount val="43"/>
                <c:pt idx="0">
                  <c:v>42.227591973326199</c:v>
                </c:pt>
                <c:pt idx="1">
                  <c:v>42.2025919733262</c:v>
                </c:pt>
                <c:pt idx="2">
                  <c:v>42.177591973326201</c:v>
                </c:pt>
                <c:pt idx="3">
                  <c:v>42.152591973326203</c:v>
                </c:pt>
                <c:pt idx="4">
                  <c:v>42.127591973326204</c:v>
                </c:pt>
                <c:pt idx="5">
                  <c:v>42.102591973326206</c:v>
                </c:pt>
                <c:pt idx="6">
                  <c:v>42.077591973326207</c:v>
                </c:pt>
                <c:pt idx="7">
                  <c:v>42.052591973326209</c:v>
                </c:pt>
                <c:pt idx="8">
                  <c:v>42.02759197332621</c:v>
                </c:pt>
                <c:pt idx="9">
                  <c:v>42.002591973326211</c:v>
                </c:pt>
                <c:pt idx="10">
                  <c:v>41.977591973326213</c:v>
                </c:pt>
                <c:pt idx="11">
                  <c:v>41.952591973326214</c:v>
                </c:pt>
                <c:pt idx="12">
                  <c:v>41.927591973326216</c:v>
                </c:pt>
                <c:pt idx="13">
                  <c:v>41.902591973326217</c:v>
                </c:pt>
                <c:pt idx="14">
                  <c:v>41.877591973326219</c:v>
                </c:pt>
                <c:pt idx="15">
                  <c:v>41.85259197332622</c:v>
                </c:pt>
                <c:pt idx="16">
                  <c:v>41.827591973326221</c:v>
                </c:pt>
                <c:pt idx="17">
                  <c:v>41.802591973326223</c:v>
                </c:pt>
                <c:pt idx="18">
                  <c:v>41.777591973326224</c:v>
                </c:pt>
                <c:pt idx="19">
                  <c:v>41.752591973326226</c:v>
                </c:pt>
                <c:pt idx="20">
                  <c:v>-2.6317452482213981</c:v>
                </c:pt>
                <c:pt idx="21">
                  <c:v>-2.656745248221398</c:v>
                </c:pt>
                <c:pt idx="22">
                  <c:v>-2.6817452482213979</c:v>
                </c:pt>
                <c:pt idx="23">
                  <c:v>-2.7067452482213978</c:v>
                </c:pt>
                <c:pt idx="24">
                  <c:v>-2.7317452482213977</c:v>
                </c:pt>
                <c:pt idx="25">
                  <c:v>-2.7567452482213977</c:v>
                </c:pt>
                <c:pt idx="26">
                  <c:v>-2.7817452482213976</c:v>
                </c:pt>
                <c:pt idx="27">
                  <c:v>-2.8067452482213975</c:v>
                </c:pt>
                <c:pt idx="28">
                  <c:v>-2.8317452482213974</c:v>
                </c:pt>
                <c:pt idx="29">
                  <c:v>-2.8567452482213973</c:v>
                </c:pt>
                <c:pt idx="30">
                  <c:v>-2.8817452482213972</c:v>
                </c:pt>
                <c:pt idx="31">
                  <c:v>-2.9067452482213971</c:v>
                </c:pt>
                <c:pt idx="32">
                  <c:v>-2.931745248221397</c:v>
                </c:pt>
                <c:pt idx="33">
                  <c:v>-2.9567452482213969</c:v>
                </c:pt>
                <c:pt idx="34">
                  <c:v>-2.9817452482213969</c:v>
                </c:pt>
                <c:pt idx="35">
                  <c:v>-3.0067452482213968</c:v>
                </c:pt>
                <c:pt idx="36">
                  <c:v>-3.0317452482213967</c:v>
                </c:pt>
                <c:pt idx="37">
                  <c:v>-3.0567452482213966</c:v>
                </c:pt>
                <c:pt idx="38">
                  <c:v>-3.0817452482213965</c:v>
                </c:pt>
                <c:pt idx="39">
                  <c:v>-3.1067452482213964</c:v>
                </c:pt>
                <c:pt idx="40">
                  <c:v>-3.1317452482213963</c:v>
                </c:pt>
                <c:pt idx="41">
                  <c:v>-2.6317452482213981</c:v>
                </c:pt>
                <c:pt idx="42">
                  <c:v>-2.6317452482213981</c:v>
                </c:pt>
              </c:numCache>
            </c:numRef>
          </c:xVal>
          <c:yVal>
            <c:numRef>
              <c:f>Grafik!$P$18:$P$60</c:f>
              <c:numCache>
                <c:formatCode>0.00</c:formatCode>
                <c:ptCount val="43"/>
                <c:pt idx="0">
                  <c:v>12.311053193474265</c:v>
                </c:pt>
                <c:pt idx="1">
                  <c:v>12.271914863101017</c:v>
                </c:pt>
                <c:pt idx="2">
                  <c:v>12.232942394901727</c:v>
                </c:pt>
                <c:pt idx="3">
                  <c:v>12.194134572106009</c:v>
                </c:pt>
                <c:pt idx="4">
                  <c:v>12.15549019377238</c:v>
                </c:pt>
                <c:pt idx="5">
                  <c:v>12.117008074497278</c:v>
                </c:pt>
                <c:pt idx="6">
                  <c:v>12.078687044130731</c:v>
                </c:pt>
                <c:pt idx="7">
                  <c:v>12.040525947498622</c:v>
                </c:pt>
                <c:pt idx="8">
                  <c:v>12.002523644131429</c:v>
                </c:pt>
                <c:pt idx="9">
                  <c:v>11.964679007999678</c:v>
                </c:pt>
                <c:pt idx="10">
                  <c:v>11.926990927255417</c:v>
                </c:pt>
                <c:pt idx="11">
                  <c:v>11.88945830397887</c:v>
                </c:pt>
                <c:pt idx="12">
                  <c:v>11.852080053932355</c:v>
                </c:pt>
                <c:pt idx="13">
                  <c:v>11.814855106318419</c:v>
                </c:pt>
                <c:pt idx="14">
                  <c:v>11.777782403544734</c:v>
                </c:pt>
                <c:pt idx="15">
                  <c:v>11.740860900993084</c:v>
                </c:pt>
                <c:pt idx="16">
                  <c:v>11.704089566794551</c:v>
                </c:pt>
                <c:pt idx="17">
                  <c:v>11.667467381609129</c:v>
                </c:pt>
                <c:pt idx="18">
                  <c:v>11.630993338410633</c:v>
                </c:pt>
                <c:pt idx="19">
                  <c:v>11.59466644227598</c:v>
                </c:pt>
                <c:pt idx="20">
                  <c:v>27.453803401255868</c:v>
                </c:pt>
                <c:pt idx="21">
                  <c:v>27.808857595559289</c:v>
                </c:pt>
                <c:pt idx="22">
                  <c:v>28.266355920701756</c:v>
                </c:pt>
                <c:pt idx="23">
                  <c:v>29.120321508425491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4B8-BA4B-B60E-1C15A8AB85BF}"/>
            </c:ext>
          </c:extLst>
        </c:ser>
        <c:ser>
          <c:idx val="1"/>
          <c:order val="2"/>
          <c:tx>
            <c:strRef>
              <c:f>Grafik!$Q$17</c:f>
              <c:strCache>
                <c:ptCount val="1"/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Grafik!$J$18:$J$60</c:f>
              <c:numCache>
                <c:formatCode>#,##0.00\ _€</c:formatCode>
                <c:ptCount val="43"/>
                <c:pt idx="0">
                  <c:v>42.227591973326199</c:v>
                </c:pt>
                <c:pt idx="1">
                  <c:v>42.2025919733262</c:v>
                </c:pt>
                <c:pt idx="2">
                  <c:v>42.177591973326201</c:v>
                </c:pt>
                <c:pt idx="3">
                  <c:v>42.152591973326203</c:v>
                </c:pt>
                <c:pt idx="4">
                  <c:v>42.127591973326204</c:v>
                </c:pt>
                <c:pt idx="5">
                  <c:v>42.102591973326206</c:v>
                </c:pt>
                <c:pt idx="6">
                  <c:v>42.077591973326207</c:v>
                </c:pt>
                <c:pt idx="7">
                  <c:v>42.052591973326209</c:v>
                </c:pt>
                <c:pt idx="8">
                  <c:v>42.02759197332621</c:v>
                </c:pt>
                <c:pt idx="9">
                  <c:v>42.002591973326211</c:v>
                </c:pt>
                <c:pt idx="10">
                  <c:v>41.977591973326213</c:v>
                </c:pt>
                <c:pt idx="11">
                  <c:v>41.952591973326214</c:v>
                </c:pt>
                <c:pt idx="12">
                  <c:v>41.927591973326216</c:v>
                </c:pt>
                <c:pt idx="13">
                  <c:v>41.902591973326217</c:v>
                </c:pt>
                <c:pt idx="14">
                  <c:v>41.877591973326219</c:v>
                </c:pt>
                <c:pt idx="15">
                  <c:v>41.85259197332622</c:v>
                </c:pt>
                <c:pt idx="16">
                  <c:v>41.827591973326221</c:v>
                </c:pt>
                <c:pt idx="17">
                  <c:v>41.802591973326223</c:v>
                </c:pt>
                <c:pt idx="18">
                  <c:v>41.777591973326224</c:v>
                </c:pt>
                <c:pt idx="19">
                  <c:v>41.752591973326226</c:v>
                </c:pt>
                <c:pt idx="20">
                  <c:v>-2.6317452482213981</c:v>
                </c:pt>
                <c:pt idx="21">
                  <c:v>-2.656745248221398</c:v>
                </c:pt>
                <c:pt idx="22">
                  <c:v>-2.6817452482213979</c:v>
                </c:pt>
                <c:pt idx="23">
                  <c:v>-2.7067452482213978</c:v>
                </c:pt>
                <c:pt idx="24">
                  <c:v>-2.7317452482213977</c:v>
                </c:pt>
                <c:pt idx="25">
                  <c:v>-2.7567452482213977</c:v>
                </c:pt>
                <c:pt idx="26">
                  <c:v>-2.7817452482213976</c:v>
                </c:pt>
                <c:pt idx="27">
                  <c:v>-2.8067452482213975</c:v>
                </c:pt>
                <c:pt idx="28">
                  <c:v>-2.8317452482213974</c:v>
                </c:pt>
                <c:pt idx="29">
                  <c:v>-2.8567452482213973</c:v>
                </c:pt>
                <c:pt idx="30">
                  <c:v>-2.8817452482213972</c:v>
                </c:pt>
                <c:pt idx="31">
                  <c:v>-2.9067452482213971</c:v>
                </c:pt>
                <c:pt idx="32">
                  <c:v>-2.931745248221397</c:v>
                </c:pt>
                <c:pt idx="33">
                  <c:v>-2.9567452482213969</c:v>
                </c:pt>
                <c:pt idx="34">
                  <c:v>-2.9817452482213969</c:v>
                </c:pt>
                <c:pt idx="35">
                  <c:v>-3.0067452482213968</c:v>
                </c:pt>
                <c:pt idx="36">
                  <c:v>-3.0317452482213967</c:v>
                </c:pt>
                <c:pt idx="37">
                  <c:v>-3.0567452482213966</c:v>
                </c:pt>
                <c:pt idx="38">
                  <c:v>-3.0817452482213965</c:v>
                </c:pt>
                <c:pt idx="39">
                  <c:v>-3.1067452482213964</c:v>
                </c:pt>
                <c:pt idx="40">
                  <c:v>-3.1317452482213963</c:v>
                </c:pt>
                <c:pt idx="41">
                  <c:v>-2.6317452482213981</c:v>
                </c:pt>
                <c:pt idx="42">
                  <c:v>-2.6317452482213981</c:v>
                </c:pt>
              </c:numCache>
            </c:numRef>
          </c:xVal>
          <c:yVal>
            <c:numRef>
              <c:f>Grafik!$Q$18:$Q$60</c:f>
              <c:numCache>
                <c:formatCode>0.00</c:formatCode>
                <c:ptCount val="43"/>
                <c:pt idx="0">
                  <c:v>18.186745345359952</c:v>
                </c:pt>
                <c:pt idx="1">
                  <c:v>18.176238423479447</c:v>
                </c:pt>
                <c:pt idx="2">
                  <c:v>18.165760492067761</c:v>
                </c:pt>
                <c:pt idx="3">
                  <c:v>18.155311496907871</c:v>
                </c:pt>
                <c:pt idx="4">
                  <c:v>18.144891383963568</c:v>
                </c:pt>
                <c:pt idx="5">
                  <c:v>18.134500099379125</c:v>
                </c:pt>
                <c:pt idx="6">
                  <c:v>18.124137589478266</c:v>
                </c:pt>
                <c:pt idx="7">
                  <c:v>18.113803800763549</c:v>
                </c:pt>
                <c:pt idx="8">
                  <c:v>18.103498679915617</c:v>
                </c:pt>
                <c:pt idx="9">
                  <c:v>18.093222173792356</c:v>
                </c:pt>
                <c:pt idx="10">
                  <c:v>18.08297422942843</c:v>
                </c:pt>
                <c:pt idx="11">
                  <c:v>18.072754794034097</c:v>
                </c:pt>
                <c:pt idx="12">
                  <c:v>18.062563814994803</c:v>
                </c:pt>
                <c:pt idx="13">
                  <c:v>18.052401239870562</c:v>
                </c:pt>
                <c:pt idx="14">
                  <c:v>18.042267016394817</c:v>
                </c:pt>
                <c:pt idx="15">
                  <c:v>18.032161092474041</c:v>
                </c:pt>
                <c:pt idx="16">
                  <c:v>18.022083416187115</c:v>
                </c:pt>
                <c:pt idx="17">
                  <c:v>18.012033935784075</c:v>
                </c:pt>
                <c:pt idx="18">
                  <c:v>18.002012599686168</c:v>
                </c:pt>
                <c:pt idx="19">
                  <c:v>17.992019356484491</c:v>
                </c:pt>
                <c:pt idx="20">
                  <c:v>27.453803401256494</c:v>
                </c:pt>
                <c:pt idx="21">
                  <c:v>27.474753810163179</c:v>
                </c:pt>
                <c:pt idx="22">
                  <c:v>27.495734445843937</c:v>
                </c:pt>
                <c:pt idx="23">
                  <c:v>27.516745373469632</c:v>
                </c:pt>
                <c:pt idx="24">
                  <c:v>27.537786658481878</c:v>
                </c:pt>
                <c:pt idx="25">
                  <c:v>27.558858366594848</c:v>
                </c:pt>
                <c:pt idx="26">
                  <c:v>27.57996056379659</c:v>
                </c:pt>
                <c:pt idx="27">
                  <c:v>27.601093316350955</c:v>
                </c:pt>
                <c:pt idx="28">
                  <c:v>27.622256690798508</c:v>
                </c:pt>
                <c:pt idx="29">
                  <c:v>27.643450753958746</c:v>
                </c:pt>
                <c:pt idx="30">
                  <c:v>27.66467557293123</c:v>
                </c:pt>
                <c:pt idx="31">
                  <c:v>27.685931215097412</c:v>
                </c:pt>
                <c:pt idx="32">
                  <c:v>27.707217748122218</c:v>
                </c:pt>
                <c:pt idx="33">
                  <c:v>27.728535239955534</c:v>
                </c:pt>
                <c:pt idx="34">
                  <c:v>27.74988375883396</c:v>
                </c:pt>
                <c:pt idx="35">
                  <c:v>27.771263373282352</c:v>
                </c:pt>
                <c:pt idx="36">
                  <c:v>27.79267415211558</c:v>
                </c:pt>
                <c:pt idx="37">
                  <c:v>27.814116164440122</c:v>
                </c:pt>
                <c:pt idx="38">
                  <c:v>27.835589479655766</c:v>
                </c:pt>
                <c:pt idx="39">
                  <c:v>27.857094167457205</c:v>
                </c:pt>
                <c:pt idx="40">
                  <c:v>27.878630297836025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4B8-BA4B-B60E-1C15A8AB85BF}"/>
            </c:ext>
          </c:extLst>
        </c:ser>
        <c:ser>
          <c:idx val="2"/>
          <c:order val="3"/>
          <c:tx>
            <c:strRef>
              <c:f>Grafik!$R$17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2"/>
            <c:marker>
              <c:symbol val="none"/>
            </c:marker>
            <c:bubble3D val="0"/>
            <c:spPr>
              <a:ln w="19050" cap="rnd">
                <a:solidFill>
                  <a:srgbClr val="0070C0"/>
                </a:solidFill>
                <a:round/>
                <a:tailEnd type="stealth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B8-BA4B-B60E-1C15A8AB85BF}"/>
              </c:ext>
            </c:extLst>
          </c:dPt>
          <c:xVal>
            <c:numRef>
              <c:f>Grafik!$J$18:$J$60</c:f>
              <c:numCache>
                <c:formatCode>#,##0.00\ _€</c:formatCode>
                <c:ptCount val="43"/>
                <c:pt idx="0">
                  <c:v>42.227591973326199</c:v>
                </c:pt>
                <c:pt idx="1">
                  <c:v>42.2025919733262</c:v>
                </c:pt>
                <c:pt idx="2">
                  <c:v>42.177591973326201</c:v>
                </c:pt>
                <c:pt idx="3">
                  <c:v>42.152591973326203</c:v>
                </c:pt>
                <c:pt idx="4">
                  <c:v>42.127591973326204</c:v>
                </c:pt>
                <c:pt idx="5">
                  <c:v>42.102591973326206</c:v>
                </c:pt>
                <c:pt idx="6">
                  <c:v>42.077591973326207</c:v>
                </c:pt>
                <c:pt idx="7">
                  <c:v>42.052591973326209</c:v>
                </c:pt>
                <c:pt idx="8">
                  <c:v>42.02759197332621</c:v>
                </c:pt>
                <c:pt idx="9">
                  <c:v>42.002591973326211</c:v>
                </c:pt>
                <c:pt idx="10">
                  <c:v>41.977591973326213</c:v>
                </c:pt>
                <c:pt idx="11">
                  <c:v>41.952591973326214</c:v>
                </c:pt>
                <c:pt idx="12">
                  <c:v>41.927591973326216</c:v>
                </c:pt>
                <c:pt idx="13">
                  <c:v>41.902591973326217</c:v>
                </c:pt>
                <c:pt idx="14">
                  <c:v>41.877591973326219</c:v>
                </c:pt>
                <c:pt idx="15">
                  <c:v>41.85259197332622</c:v>
                </c:pt>
                <c:pt idx="16">
                  <c:v>41.827591973326221</c:v>
                </c:pt>
                <c:pt idx="17">
                  <c:v>41.802591973326223</c:v>
                </c:pt>
                <c:pt idx="18">
                  <c:v>41.777591973326224</c:v>
                </c:pt>
                <c:pt idx="19">
                  <c:v>41.752591973326226</c:v>
                </c:pt>
                <c:pt idx="20">
                  <c:v>-2.6317452482213981</c:v>
                </c:pt>
                <c:pt idx="21">
                  <c:v>-2.656745248221398</c:v>
                </c:pt>
                <c:pt idx="22">
                  <c:v>-2.6817452482213979</c:v>
                </c:pt>
                <c:pt idx="23">
                  <c:v>-2.7067452482213978</c:v>
                </c:pt>
                <c:pt idx="24">
                  <c:v>-2.7317452482213977</c:v>
                </c:pt>
                <c:pt idx="25">
                  <c:v>-2.7567452482213977</c:v>
                </c:pt>
                <c:pt idx="26">
                  <c:v>-2.7817452482213976</c:v>
                </c:pt>
                <c:pt idx="27">
                  <c:v>-2.8067452482213975</c:v>
                </c:pt>
                <c:pt idx="28">
                  <c:v>-2.8317452482213974</c:v>
                </c:pt>
                <c:pt idx="29">
                  <c:v>-2.8567452482213973</c:v>
                </c:pt>
                <c:pt idx="30">
                  <c:v>-2.8817452482213972</c:v>
                </c:pt>
                <c:pt idx="31">
                  <c:v>-2.9067452482213971</c:v>
                </c:pt>
                <c:pt idx="32">
                  <c:v>-2.931745248221397</c:v>
                </c:pt>
                <c:pt idx="33">
                  <c:v>-2.9567452482213969</c:v>
                </c:pt>
                <c:pt idx="34">
                  <c:v>-2.9817452482213969</c:v>
                </c:pt>
                <c:pt idx="35">
                  <c:v>-3.0067452482213968</c:v>
                </c:pt>
                <c:pt idx="36">
                  <c:v>-3.0317452482213967</c:v>
                </c:pt>
                <c:pt idx="37">
                  <c:v>-3.0567452482213966</c:v>
                </c:pt>
                <c:pt idx="38">
                  <c:v>-3.0817452482213965</c:v>
                </c:pt>
                <c:pt idx="39">
                  <c:v>-3.1067452482213964</c:v>
                </c:pt>
                <c:pt idx="40">
                  <c:v>-3.1317452482213963</c:v>
                </c:pt>
                <c:pt idx="41">
                  <c:v>-2.6317452482213981</c:v>
                </c:pt>
                <c:pt idx="42">
                  <c:v>-2.6317452482213981</c:v>
                </c:pt>
              </c:numCache>
            </c:numRef>
          </c:xVal>
          <c:yVal>
            <c:numRef>
              <c:f>Grafik!$R$18:$R$60</c:f>
              <c:numCache>
                <c:formatCode>General</c:formatCode>
                <c:ptCount val="43"/>
                <c:pt idx="41" formatCode="0.00">
                  <c:v>27.453803401256511</c:v>
                </c:pt>
                <c:pt idx="42" formatCode="0.00">
                  <c:v>27.453803401256511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4B8-BA4B-B60E-1C15A8AB8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045856"/>
        <c:axId val="1385133584"/>
      </c:scatterChart>
      <c:valAx>
        <c:axId val="13850458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\°_ ;[Red]\-0\°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de-DE"/>
          </a:p>
        </c:txPr>
        <c:crossAx val="1385133584"/>
        <c:crosses val="autoZero"/>
        <c:crossBetween val="midCat"/>
        <c:majorUnit val="1"/>
        <c:minorUnit val="0.16666600000000001"/>
      </c:valAx>
      <c:valAx>
        <c:axId val="138513358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\°_ ;[Red]\-0.0\°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de-DE"/>
          </a:p>
        </c:txPr>
        <c:crossAx val="1385045856"/>
        <c:crosses val="autoZero"/>
        <c:crossBetween val="midCat"/>
        <c:minorUnit val="0.16666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165099</xdr:colOff>
      <xdr:row>6</xdr:row>
      <xdr:rowOff>12700</xdr:rowOff>
    </xdr:from>
    <xdr:to>
      <xdr:col>7</xdr:col>
      <xdr:colOff>698499</xdr:colOff>
      <xdr:row>33</xdr:row>
      <xdr:rowOff>12700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4F5AAF-3A85-3C4E-A6E4-FED0AF842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0.12198</cdr:x>
      <cdr:y>0.44094</cdr:y>
    </cdr:from>
    <cdr:to>
      <cdr:x>0.22074</cdr:x>
      <cdr:y>0.50065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AF1CB92-EADE-AA44-AC95-56E197A65996}"/>
            </a:ext>
          </a:extLst>
        </cdr:cNvPr>
        <cdr:cNvSpPr txBox="1"/>
      </cdr:nvSpPr>
      <cdr:spPr>
        <a:xfrm xmlns:a="http://schemas.openxmlformats.org/drawingml/2006/main">
          <a:off x="669217" y="2419175"/>
          <a:ext cx="541837" cy="327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S</a:t>
          </a:r>
        </a:p>
      </cdr:txBody>
    </cdr:sp>
  </cdr:relSizeAnchor>
  <cdr:relSizeAnchor xmlns:cdr="http://schemas.openxmlformats.org/drawingml/2006/chartDrawing">
    <cdr:from>
      <cdr:x>0.8634</cdr:x>
      <cdr:y>0.44749</cdr:y>
    </cdr:from>
    <cdr:to>
      <cdr:x>0.96216</cdr:x>
      <cdr:y>0.50721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4736974" y="2455109"/>
          <a:ext cx="541837" cy="327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N</a:t>
          </a:r>
        </a:p>
      </cdr:txBody>
    </cdr:sp>
  </cdr:relSizeAnchor>
  <cdr:relSizeAnchor xmlns:cdr="http://schemas.openxmlformats.org/drawingml/2006/chartDrawing">
    <cdr:from>
      <cdr:x>0.53941</cdr:x>
      <cdr:y>0.89759</cdr:y>
    </cdr:from>
    <cdr:to>
      <cdr:x>0.63817</cdr:x>
      <cdr:y>0.95731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2959443" y="4924526"/>
          <a:ext cx="541837" cy="327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E</a:t>
          </a:r>
        </a:p>
      </cdr:txBody>
    </cdr:sp>
  </cdr:relSizeAnchor>
  <cdr:relSizeAnchor xmlns:cdr="http://schemas.openxmlformats.org/drawingml/2006/chartDrawing">
    <cdr:from>
      <cdr:x>0.53944</cdr:x>
      <cdr:y>0.07837</cdr:y>
    </cdr:from>
    <cdr:to>
      <cdr:x>0.6382</cdr:x>
      <cdr:y>0.13809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2959580" y="429969"/>
          <a:ext cx="541836" cy="327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W</a:t>
          </a:r>
        </a:p>
      </cdr:txBody>
    </cdr:sp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C4FE8-4F74-C440-94DB-5AF73CF14EF0}">
  <dimension ref="A1:X39"/>
  <sheetViews>
    <sheetView tabSelected="1" zoomScaleNormal="100" workbookViewId="0">
      <selection activeCell="B3" sqref="B3"/>
    </sheetView>
  </sheetViews>
  <sheetFormatPr baseColWidth="10" defaultRowHeight="16"/>
  <cols>
    <col min="1" max="1" width="4.33203125" customWidth="1"/>
    <col min="2" max="2" width="25.1640625" customWidth="1"/>
    <col min="3" max="3" width="7.33203125" customWidth="1"/>
    <col min="4" max="4" width="6.83203125" customWidth="1"/>
    <col min="5" max="5" width="4" customWidth="1"/>
    <col min="6" max="6" width="7" customWidth="1"/>
    <col min="7" max="8" width="7.33203125" customWidth="1"/>
    <col min="9" max="9" width="4.33203125" customWidth="1"/>
    <col min="10" max="15" width="11.83203125" customWidth="1"/>
    <col min="16" max="16" width="4.33203125" customWidth="1"/>
    <col min="19" max="19" width="4.33203125" customWidth="1"/>
    <col min="20" max="22" width="11.83203125" customWidth="1"/>
  </cols>
  <sheetData>
    <row r="1" spans="1:24">
      <c r="A1" s="4"/>
      <c r="B1" s="4"/>
      <c r="C1" s="4"/>
      <c r="D1" s="4"/>
      <c r="E1" s="4"/>
      <c r="F1" s="4"/>
      <c r="G1" s="4"/>
      <c r="H1" s="16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27">
      <c r="A2" s="4"/>
      <c r="B2" s="278" t="s">
        <v>119</v>
      </c>
      <c r="C2" s="6"/>
      <c r="D2" s="6"/>
      <c r="E2" s="4"/>
      <c r="F2" s="4"/>
      <c r="G2" s="4"/>
      <c r="H2" s="4"/>
      <c r="I2" s="1"/>
      <c r="J2" s="141"/>
      <c r="K2" s="141"/>
      <c r="L2" s="141"/>
      <c r="M2" s="8"/>
      <c r="N2" s="8"/>
      <c r="O2" s="8"/>
      <c r="P2" s="8"/>
      <c r="Q2" s="8"/>
      <c r="R2" s="8"/>
      <c r="S2" s="8"/>
      <c r="T2" s="1"/>
      <c r="U2" s="32"/>
      <c r="V2" s="32"/>
    </row>
    <row r="3" spans="1:24">
      <c r="A3" s="4"/>
      <c r="B3" s="4" t="s">
        <v>118</v>
      </c>
      <c r="C3" s="4"/>
      <c r="D3" s="4"/>
      <c r="E3" s="4"/>
      <c r="F3" s="4"/>
      <c r="G3" s="4"/>
      <c r="H3" s="4"/>
      <c r="I3" s="1"/>
      <c r="J3" s="81"/>
      <c r="K3" s="81"/>
      <c r="L3" s="81"/>
      <c r="M3" s="81"/>
      <c r="N3" s="81"/>
      <c r="O3" s="81"/>
      <c r="P3" s="81"/>
      <c r="Q3" s="1"/>
      <c r="R3" s="1"/>
      <c r="S3" s="1"/>
      <c r="U3" s="1"/>
      <c r="V3" s="1"/>
    </row>
    <row r="4" spans="1:24" ht="27">
      <c r="A4" s="4"/>
      <c r="B4" s="4"/>
      <c r="C4" s="4"/>
      <c r="D4" s="105"/>
      <c r="E4" s="4"/>
      <c r="F4" s="106"/>
      <c r="G4" s="106"/>
      <c r="H4" s="4"/>
      <c r="I4" s="1"/>
      <c r="J4" s="1"/>
      <c r="K4" s="1"/>
      <c r="L4" s="1"/>
      <c r="M4" s="1"/>
      <c r="N4" s="1"/>
      <c r="O4" s="1"/>
      <c r="P4" s="1"/>
      <c r="Q4" s="1"/>
      <c r="R4" s="29"/>
      <c r="S4" s="1"/>
    </row>
    <row r="5" spans="1:24" ht="18" customHeight="1" thickBot="1">
      <c r="A5" s="9"/>
      <c r="B5" s="11" t="s">
        <v>106</v>
      </c>
      <c r="C5" s="55"/>
      <c r="D5" s="56"/>
      <c r="E5" s="56"/>
      <c r="F5" s="19"/>
      <c r="G5" s="19"/>
      <c r="H5" s="82" t="str">
        <f>IF(OR(AND(H6="O",OR(H7="O",H7="U")),AND(H6="U",OR(H7="O",H7="U")))=TRUE," ","ERROR")</f>
        <v xml:space="preserve"> </v>
      </c>
      <c r="I5" s="14"/>
      <c r="J5" s="35" t="s">
        <v>115</v>
      </c>
      <c r="K5" s="14"/>
      <c r="L5" s="14"/>
      <c r="M5" s="14"/>
      <c r="N5" s="14"/>
      <c r="O5" s="14"/>
      <c r="P5" s="14"/>
      <c r="Q5" s="57" t="s">
        <v>114</v>
      </c>
      <c r="R5" s="58"/>
      <c r="S5" s="9"/>
      <c r="T5" s="57" t="s">
        <v>116</v>
      </c>
      <c r="U5" s="9"/>
      <c r="V5" s="73"/>
    </row>
    <row r="6" spans="1:24" ht="18" customHeight="1" thickBot="1">
      <c r="A6" s="4"/>
      <c r="B6" s="26" t="s">
        <v>8</v>
      </c>
      <c r="C6" s="43">
        <v>-1.2</v>
      </c>
      <c r="D6" s="295" t="s">
        <v>24</v>
      </c>
      <c r="E6" s="296"/>
      <c r="F6" s="296"/>
      <c r="G6" s="297"/>
      <c r="H6" s="48" t="s">
        <v>12</v>
      </c>
      <c r="I6" s="1"/>
      <c r="J6" s="37"/>
      <c r="K6" s="38"/>
      <c r="L6" s="318" t="s">
        <v>58</v>
      </c>
      <c r="M6" s="319"/>
      <c r="N6" s="318" t="s">
        <v>59</v>
      </c>
      <c r="O6" s="319"/>
      <c r="P6" s="1"/>
      <c r="Q6" s="68" t="s">
        <v>120</v>
      </c>
      <c r="R6" s="69" t="s">
        <v>7</v>
      </c>
      <c r="S6" s="1"/>
      <c r="T6" s="137" t="s">
        <v>56</v>
      </c>
      <c r="U6" s="312" t="str">
        <f>IF(dat_+ot_-(dat+ot)&lt;0,"Error"," ")</f>
        <v xml:space="preserve"> </v>
      </c>
      <c r="V6" s="138" t="s">
        <v>57</v>
      </c>
    </row>
    <row r="7" spans="1:24" ht="18" customHeight="1" thickBot="1">
      <c r="A7" s="4"/>
      <c r="B7" s="27" t="s">
        <v>9</v>
      </c>
      <c r="C7" s="44">
        <v>-1.2</v>
      </c>
      <c r="D7" s="304" t="s">
        <v>25</v>
      </c>
      <c r="E7" s="305"/>
      <c r="F7" s="305"/>
      <c r="G7" s="306"/>
      <c r="H7" s="49" t="s">
        <v>12</v>
      </c>
      <c r="I7" s="1"/>
      <c r="J7" s="65"/>
      <c r="K7" s="60" t="s">
        <v>13</v>
      </c>
      <c r="L7" s="111">
        <f>G14+H14/60</f>
        <v>50</v>
      </c>
      <c r="M7" s="62"/>
      <c r="N7" s="111">
        <f>G22+H22/60</f>
        <v>65.056666666666672</v>
      </c>
      <c r="O7" s="62"/>
      <c r="P7" s="1"/>
      <c r="Q7" s="259">
        <v>1</v>
      </c>
      <c r="R7" s="260">
        <v>0.3</v>
      </c>
      <c r="S7" s="1"/>
      <c r="T7" s="139">
        <f>SIGN(IF(D8="S",-1,1)*C8-DEGREES(d))</f>
        <v>-1</v>
      </c>
      <c r="U7" s="313"/>
      <c r="V7" s="140">
        <f>IF(dat_+ot_-(dat+ot)&lt;0," ",IF(dat_+ot_-(dat+ot)-INT(dat_+ot_-(dat+ot))&gt;0.25,-1,1))</f>
        <v>1</v>
      </c>
    </row>
    <row r="8" spans="1:24" ht="18" customHeight="1" thickBot="1">
      <c r="A8" s="287"/>
      <c r="B8" s="45" t="s">
        <v>126</v>
      </c>
      <c r="C8" s="288">
        <v>30</v>
      </c>
      <c r="D8" s="289" t="s">
        <v>127</v>
      </c>
      <c r="E8" s="46"/>
      <c r="F8" s="47" t="s">
        <v>3</v>
      </c>
      <c r="G8" s="50">
        <v>2.5</v>
      </c>
      <c r="H8" s="79" t="s">
        <v>6</v>
      </c>
      <c r="I8" s="1"/>
      <c r="J8" s="66"/>
      <c r="K8" s="61" t="s">
        <v>14</v>
      </c>
      <c r="L8" s="112">
        <f>16-(55*TAN(RADIANS(90-L7))/60-55/1000*(TAN(RADIANS(90-L7)))^3/60+1.777*SQRT(G8))</f>
        <v>12.421683203824189</v>
      </c>
      <c r="M8" s="63"/>
      <c r="N8" s="112">
        <f>16-(55*TAN(RADIANS(90-N7))/60-55/1000*(TAN(RADIANS(90-N7)))^3/60+1.777*SQRT(G8))</f>
        <v>12.764063067305251</v>
      </c>
      <c r="O8" s="63"/>
      <c r="P8" s="1"/>
      <c r="Q8" s="261">
        <f t="shared" ref="Q8:Q18" si="0">1+Q7</f>
        <v>2</v>
      </c>
      <c r="R8" s="262">
        <v>0.2</v>
      </c>
      <c r="S8" s="1"/>
      <c r="T8" s="102" t="s">
        <v>27</v>
      </c>
      <c r="U8" s="103" t="s">
        <v>4</v>
      </c>
      <c r="V8" s="104" t="s">
        <v>51</v>
      </c>
    </row>
    <row r="9" spans="1:24" ht="18" customHeight="1">
      <c r="A9" s="4"/>
      <c r="B9" s="4"/>
      <c r="C9" s="87" t="str">
        <f>IF(OR(D8="N",D8="S")," ","N oder S eingeben")</f>
        <v xml:space="preserve"> </v>
      </c>
      <c r="D9" s="9"/>
      <c r="E9" s="9"/>
      <c r="F9" s="9"/>
      <c r="G9" s="9"/>
      <c r="H9" s="4"/>
      <c r="I9" s="1"/>
      <c r="J9" s="66"/>
      <c r="K9" s="61" t="s">
        <v>15</v>
      </c>
      <c r="L9" s="113">
        <f>IF(H6="U",DGET(Q6:R18,2,R19:R20),IF(H6="O",-(32+DGET(Q6:R18,2,R19:R20)),#N/A))</f>
        <v>-0.2</v>
      </c>
      <c r="M9" s="63"/>
      <c r="N9" s="113">
        <f>IF(H7="U",DGET(Q6:R18,2,R19:R20),IF(H7="O",-(32+DGET(Q6:R18,2,R19:R20)),#N/A))</f>
        <v>-0.2</v>
      </c>
      <c r="O9" s="63"/>
      <c r="P9" s="1"/>
      <c r="Q9" s="261">
        <f t="shared" si="0"/>
        <v>3</v>
      </c>
      <c r="R9" s="262">
        <v>0.1</v>
      </c>
      <c r="S9" s="1"/>
      <c r="T9" s="74" t="s">
        <v>45</v>
      </c>
      <c r="U9" s="213">
        <f t="shared" ref="U9:U22" si="1">DEGREES(V9)</f>
        <v>29.996837489826543</v>
      </c>
      <c r="V9" s="219">
        <f>K*(grt_-grt)</f>
        <v>0.52354357938314422</v>
      </c>
    </row>
    <row r="10" spans="1:24" ht="18" customHeight="1">
      <c r="A10" s="4"/>
      <c r="B10" s="4"/>
      <c r="C10" s="4"/>
      <c r="D10" s="4"/>
      <c r="E10" s="4"/>
      <c r="F10" s="4"/>
      <c r="G10" s="4"/>
      <c r="H10" s="4"/>
      <c r="I10" s="1"/>
      <c r="J10" s="66"/>
      <c r="K10" s="61" t="s">
        <v>16</v>
      </c>
      <c r="L10" s="113">
        <f>C6</f>
        <v>-1.2</v>
      </c>
      <c r="M10" s="63"/>
      <c r="N10" s="113">
        <f>C7</f>
        <v>-1.2</v>
      </c>
      <c r="O10" s="63"/>
      <c r="P10" s="1"/>
      <c r="Q10" s="261">
        <f t="shared" si="0"/>
        <v>4</v>
      </c>
      <c r="R10" s="262">
        <v>0</v>
      </c>
      <c r="S10" s="1"/>
      <c r="T10" s="97" t="s">
        <v>32</v>
      </c>
      <c r="U10" s="214">
        <f t="shared" si="1"/>
        <v>25.0594424521348</v>
      </c>
      <c r="V10" s="220">
        <f>ATAN(TAN(d_)/COS(q))</f>
        <v>0.43736977950379374</v>
      </c>
    </row>
    <row r="11" spans="1:24" ht="18" customHeight="1">
      <c r="A11" s="4"/>
      <c r="B11" s="11" t="s">
        <v>107</v>
      </c>
      <c r="C11" s="11"/>
      <c r="D11" s="11"/>
      <c r="E11" s="9"/>
      <c r="F11" s="9"/>
      <c r="G11" s="12"/>
      <c r="H11" s="12"/>
      <c r="I11" s="1"/>
      <c r="J11" s="66"/>
      <c r="K11" s="61" t="s">
        <v>18</v>
      </c>
      <c r="L11" s="114">
        <f>L7+(L8+L9+L10)/60</f>
        <v>50.183694720063734</v>
      </c>
      <c r="M11" s="116"/>
      <c r="N11" s="114">
        <f>N7+(N8+N9+N10)/60</f>
        <v>65.246067717788421</v>
      </c>
      <c r="O11" s="116"/>
      <c r="P11" s="1"/>
      <c r="Q11" s="261">
        <f t="shared" si="0"/>
        <v>5</v>
      </c>
      <c r="R11" s="262">
        <v>-0.2</v>
      </c>
      <c r="S11" s="1"/>
      <c r="T11" s="98" t="s">
        <v>43</v>
      </c>
      <c r="U11" s="215">
        <f t="shared" si="1"/>
        <v>84.23617466382278</v>
      </c>
      <c r="V11" s="221">
        <f>ATAN(COS(F)*TAN(q)/SIN(F-d))</f>
        <v>1.470198597168735</v>
      </c>
    </row>
    <row r="12" spans="1:24" ht="18" customHeight="1">
      <c r="A12" s="4"/>
      <c r="B12" s="51" t="s">
        <v>0</v>
      </c>
      <c r="C12" s="52"/>
      <c r="D12" s="22"/>
      <c r="E12" s="22"/>
      <c r="F12" s="53"/>
      <c r="G12" s="302">
        <v>45078</v>
      </c>
      <c r="H12" s="303"/>
      <c r="I12" s="1"/>
      <c r="J12" s="66"/>
      <c r="K12" s="61" t="s">
        <v>19</v>
      </c>
      <c r="L12" s="115">
        <f>INT(L11)</f>
        <v>50</v>
      </c>
      <c r="M12" s="64">
        <f>(L11-L12)*60</f>
        <v>11.02168320382404</v>
      </c>
      <c r="N12" s="115">
        <f>INT(N11)</f>
        <v>65</v>
      </c>
      <c r="O12" s="64">
        <f>(N11-N12)*60</f>
        <v>14.764063067305244</v>
      </c>
      <c r="P12" s="1"/>
      <c r="Q12" s="261">
        <f t="shared" si="0"/>
        <v>6</v>
      </c>
      <c r="R12" s="262">
        <v>-0.2</v>
      </c>
      <c r="S12" s="1"/>
      <c r="T12" s="99" t="s">
        <v>33</v>
      </c>
      <c r="U12" s="214">
        <f t="shared" si="1"/>
        <v>-40.015259924846326</v>
      </c>
      <c r="V12" s="222">
        <f>P*ACOS(COS(V)*TAN(h)/TAN(F-d)*(SIN(h_)*SIN(F)/SIN(h)/SIN(d_)/COS(F-d)-1))</f>
        <v>-0.69839803672990708</v>
      </c>
    </row>
    <row r="13" spans="1:24" ht="18" customHeight="1" thickBot="1">
      <c r="A13" s="4"/>
      <c r="B13" s="51" t="s">
        <v>1</v>
      </c>
      <c r="C13" s="52"/>
      <c r="D13" s="22"/>
      <c r="E13" s="22"/>
      <c r="F13" s="53" t="str">
        <f>IF(ISNUMBER(G13)=TRUE,"hh:mm:ss"," Syntax !!! ")</f>
        <v>hh:mm:ss</v>
      </c>
      <c r="G13" s="298">
        <v>0.33333333333333331</v>
      </c>
      <c r="H13" s="299"/>
      <c r="I13" s="1"/>
      <c r="J13" s="67"/>
      <c r="K13" s="59" t="s">
        <v>17</v>
      </c>
      <c r="L13" s="142">
        <f>RADIANS(L11)</f>
        <v>0.87587070368080622</v>
      </c>
      <c r="M13" s="117" t="s">
        <v>10</v>
      </c>
      <c r="N13" s="142">
        <f>RADIANS(N11)</f>
        <v>1.1387587056545905</v>
      </c>
      <c r="O13" s="117" t="s">
        <v>44</v>
      </c>
      <c r="P13" s="1"/>
      <c r="Q13" s="261">
        <f t="shared" si="0"/>
        <v>7</v>
      </c>
      <c r="R13" s="262">
        <v>-0.2</v>
      </c>
      <c r="S13" s="1"/>
      <c r="T13" s="98" t="s">
        <v>34</v>
      </c>
      <c r="U13" s="215">
        <f t="shared" si="1"/>
        <v>-64.864028015472655</v>
      </c>
      <c r="V13" s="223">
        <f>ATAN(TAN(h)/COS(V-W))</f>
        <v>-1.1320908549758413</v>
      </c>
    </row>
    <row r="14" spans="1:24" ht="18" customHeight="1">
      <c r="A14" s="4"/>
      <c r="B14" s="51" t="s">
        <v>2</v>
      </c>
      <c r="C14" s="322" t="s">
        <v>38</v>
      </c>
      <c r="D14" s="322"/>
      <c r="E14" s="322"/>
      <c r="F14" s="323"/>
      <c r="G14" s="23">
        <v>50</v>
      </c>
      <c r="H14" s="28">
        <v>0</v>
      </c>
      <c r="I14" s="1"/>
      <c r="J14" s="1"/>
      <c r="K14" s="1"/>
      <c r="L14" s="1"/>
      <c r="M14" s="1"/>
      <c r="N14" s="1"/>
      <c r="O14" s="1"/>
      <c r="P14" s="1"/>
      <c r="Q14" s="261">
        <f t="shared" si="0"/>
        <v>8</v>
      </c>
      <c r="R14" s="262">
        <v>-0.2</v>
      </c>
      <c r="S14" s="1"/>
      <c r="T14" s="97" t="s">
        <v>37</v>
      </c>
      <c r="U14" s="214">
        <f t="shared" si="1"/>
        <v>31.994552055224492</v>
      </c>
      <c r="V14" s="220">
        <f>ATAN(COS(G)*TAN(V-W)/SIN(G-d))</f>
        <v>0.55841027606438598</v>
      </c>
    </row>
    <row r="15" spans="1:24" ht="18" customHeight="1">
      <c r="A15" s="4"/>
      <c r="B15" s="13"/>
      <c r="C15" s="13"/>
      <c r="D15" s="13"/>
      <c r="E15" s="4"/>
      <c r="F15" s="24"/>
      <c r="G15" s="4"/>
      <c r="H15" s="24" t="str">
        <f>IF(NOT(INT(G14)=G14),"EINGABEFEHLER!  ","")</f>
        <v/>
      </c>
      <c r="I15" s="1"/>
      <c r="J15" s="1"/>
      <c r="K15" s="1"/>
      <c r="L15" s="1"/>
      <c r="M15" s="34"/>
      <c r="N15" s="33"/>
      <c r="O15" s="36"/>
      <c r="P15" s="1"/>
      <c r="Q15" s="261">
        <f t="shared" si="0"/>
        <v>9</v>
      </c>
      <c r="R15" s="262">
        <v>-0.1</v>
      </c>
      <c r="S15" s="1"/>
      <c r="T15" s="136" t="s">
        <v>35</v>
      </c>
      <c r="U15" s="216">
        <f t="shared" si="1"/>
        <v>-2.6317452482213981</v>
      </c>
      <c r="V15" s="224">
        <f>ATAN(COS(tau)*_xlfn.COT(G-d))</f>
        <v>-4.5932619655178836E-2</v>
      </c>
    </row>
    <row r="16" spans="1:24" ht="18" customHeight="1" thickBot="1">
      <c r="A16" s="4"/>
      <c r="B16" s="11" t="s">
        <v>108</v>
      </c>
      <c r="C16" s="31"/>
      <c r="D16" s="30"/>
      <c r="E16" s="12"/>
      <c r="F16" s="12"/>
      <c r="G16" s="12"/>
      <c r="H16" s="9"/>
      <c r="I16" s="1"/>
      <c r="J16" s="129" t="s">
        <v>113</v>
      </c>
      <c r="K16" s="1"/>
      <c r="L16" s="1"/>
      <c r="M16" s="270" t="s">
        <v>112</v>
      </c>
      <c r="N16" s="1"/>
      <c r="O16" s="1"/>
      <c r="P16" s="1"/>
      <c r="Q16" s="261">
        <f t="shared" si="0"/>
        <v>10</v>
      </c>
      <c r="R16" s="262">
        <v>0.1</v>
      </c>
      <c r="S16" s="1"/>
      <c r="T16" s="97" t="s">
        <v>46</v>
      </c>
      <c r="U16" s="214">
        <f t="shared" si="1"/>
        <v>332.54619659874351</v>
      </c>
      <c r="V16" s="222">
        <f>grt+K*tau</f>
        <v>5.8040260456324422</v>
      </c>
      <c r="W16" s="286"/>
      <c r="X16" s="286"/>
    </row>
    <row r="17" spans="1:22" ht="18" customHeight="1" thickBot="1">
      <c r="A17" s="4"/>
      <c r="B17" s="51" t="s">
        <v>39</v>
      </c>
      <c r="C17" s="107">
        <v>0</v>
      </c>
      <c r="D17" s="108" t="s">
        <v>5</v>
      </c>
      <c r="E17" s="316" t="s">
        <v>40</v>
      </c>
      <c r="F17" s="316"/>
      <c r="G17" s="317"/>
      <c r="H17" s="72">
        <v>135</v>
      </c>
      <c r="I17" s="10"/>
      <c r="J17" s="125" t="s">
        <v>52</v>
      </c>
      <c r="K17" s="126" t="s">
        <v>55</v>
      </c>
      <c r="L17" s="1"/>
      <c r="M17" s="257" t="s">
        <v>52</v>
      </c>
      <c r="N17" s="127" t="s">
        <v>53</v>
      </c>
      <c r="O17" s="128" t="s">
        <v>54</v>
      </c>
      <c r="P17" s="70"/>
      <c r="Q17" s="261">
        <f t="shared" si="0"/>
        <v>11</v>
      </c>
      <c r="R17" s="262">
        <v>0.2</v>
      </c>
      <c r="S17" s="1"/>
      <c r="T17" s="76" t="s">
        <v>28</v>
      </c>
      <c r="U17" s="215">
        <f>DEGREES(V17)</f>
        <v>328.00544794477554</v>
      </c>
      <c r="V17" s="223">
        <f>IF(grt-V16&lt;0,grt-V16+ 2*PI(),IF(grt-V16&gt;360,grt-V16-360,grt-V16))</f>
        <v>5.7247750311152004</v>
      </c>
    </row>
    <row r="18" spans="1:22" ht="18" customHeight="1" thickBot="1">
      <c r="A18" s="4"/>
      <c r="B18" s="9"/>
      <c r="C18" s="9"/>
      <c r="D18" s="9"/>
      <c r="E18" s="9"/>
      <c r="F18" s="9"/>
      <c r="G18" s="9"/>
      <c r="H18" s="9"/>
      <c r="I18" s="1"/>
      <c r="J18" s="249" t="s">
        <v>98</v>
      </c>
      <c r="K18" s="250">
        <f>280.4656</f>
        <v>280.46559999999999</v>
      </c>
      <c r="L18" s="1"/>
      <c r="M18" s="256" t="s">
        <v>88</v>
      </c>
      <c r="N18" s="231">
        <f>_xlfn.DAYS(dat,ref)+ot-0.5</f>
        <v>8551.8333333333339</v>
      </c>
      <c r="O18" s="232">
        <f>_xlfn.DAYS(dat_,ref)+ot_-0.5</f>
        <v>8551.9166666666661</v>
      </c>
      <c r="P18" s="1"/>
      <c r="Q18" s="263">
        <f t="shared" si="0"/>
        <v>12</v>
      </c>
      <c r="R18" s="264">
        <v>0.3</v>
      </c>
      <c r="S18" s="1"/>
      <c r="T18" s="97" t="s">
        <v>36</v>
      </c>
      <c r="U18" s="214">
        <f t="shared" si="1"/>
        <v>50.086525353242742</v>
      </c>
      <c r="V18" s="220">
        <f>IF(LHA&gt;PI(),ACOS((SIN(d)-SIN(h)*SIN(j))/(COS(h)*COS(j))),(2*PI()-ACOS((SIN(d)-SIN(h)*SIN(j))/(COS(h)*COS(j)))))</f>
        <v>0.87417477829770174</v>
      </c>
    </row>
    <row r="19" spans="1:22" ht="18" customHeight="1">
      <c r="A19" s="4"/>
      <c r="B19" s="11" t="s">
        <v>109</v>
      </c>
      <c r="C19" s="18"/>
      <c r="D19" s="18"/>
      <c r="E19" s="19"/>
      <c r="F19" s="19"/>
      <c r="G19" s="20"/>
      <c r="H19" s="1"/>
      <c r="I19" s="1"/>
      <c r="J19" s="251" t="s">
        <v>99</v>
      </c>
      <c r="K19" s="252">
        <f>282.94</f>
        <v>282.94</v>
      </c>
      <c r="L19" s="1"/>
      <c r="M19" s="233" t="s">
        <v>89</v>
      </c>
      <c r="N19" s="234">
        <f>_A1+_B1*_T1</f>
        <v>8709.5573552315764</v>
      </c>
      <c r="O19" s="235">
        <f>_A1+_B1*_T2</f>
        <v>8709.6394925096956</v>
      </c>
      <c r="P19" s="1"/>
      <c r="Q19" s="314" t="s">
        <v>117</v>
      </c>
      <c r="R19" s="100" t="s">
        <v>120</v>
      </c>
      <c r="S19" s="1"/>
      <c r="T19" s="131" t="s">
        <v>47</v>
      </c>
      <c r="U19" s="217">
        <f t="shared" si="1"/>
        <v>50.183694720063734</v>
      </c>
      <c r="V19" s="223">
        <f>RADIANS(dmg/60)*COS(V18-RADIANS(cmg))+h</f>
        <v>0.87587070368080622</v>
      </c>
    </row>
    <row r="20" spans="1:22" ht="18" customHeight="1" thickBot="1">
      <c r="A20" s="4"/>
      <c r="B20" s="51" t="s">
        <v>0</v>
      </c>
      <c r="C20" s="324" t="s">
        <v>31</v>
      </c>
      <c r="D20" s="324"/>
      <c r="E20" s="325"/>
      <c r="F20" s="96">
        <v>0</v>
      </c>
      <c r="G20" s="300">
        <f>F20+G12</f>
        <v>45078</v>
      </c>
      <c r="H20" s="301"/>
      <c r="I20" s="1"/>
      <c r="J20" s="251" t="s">
        <v>100</v>
      </c>
      <c r="K20" s="252">
        <f>0.016709</f>
        <v>1.6709000000000002E-2</v>
      </c>
      <c r="L20" s="1"/>
      <c r="M20" s="233" t="s">
        <v>87</v>
      </c>
      <c r="N20" s="236">
        <f>N19*PI()/180</f>
        <v>152.01045224008038</v>
      </c>
      <c r="O20" s="237">
        <f>O19*PI()/180</f>
        <v>152.01188580602218</v>
      </c>
      <c r="P20" s="1"/>
      <c r="Q20" s="315"/>
      <c r="R20" s="101">
        <f>MONTH(G12)</f>
        <v>6</v>
      </c>
      <c r="S20" s="1"/>
      <c r="T20" s="99" t="s">
        <v>48</v>
      </c>
      <c r="U20" s="214">
        <f t="shared" si="1"/>
        <v>-40.015259924846326</v>
      </c>
      <c r="V20" s="222">
        <f>T7*ACOS(COS(V)*TAN(hs)/TAN(F-d)*(SIN(h_)*SIN(F)/SIN(hs)/SIN(d_)/COS(F-d)-1))</f>
        <v>-0.69839803672990708</v>
      </c>
    </row>
    <row r="21" spans="1:22" ht="18" customHeight="1">
      <c r="A21" s="4"/>
      <c r="B21" s="51" t="s">
        <v>1</v>
      </c>
      <c r="C21" s="52"/>
      <c r="D21" s="22"/>
      <c r="E21" s="22"/>
      <c r="F21" s="53" t="str">
        <f>IF(F20+ot_-ot&lt;0,"Beobachtungszeiten falsch! ","hh:mm:ss ")</f>
        <v xml:space="preserve">hh:mm:ss </v>
      </c>
      <c r="G21" s="298">
        <v>0.41666666666666669</v>
      </c>
      <c r="H21" s="299"/>
      <c r="I21" s="1"/>
      <c r="J21" s="251" t="s">
        <v>101</v>
      </c>
      <c r="K21" s="252">
        <f>23.4391667</f>
        <v>23.439166700000001</v>
      </c>
      <c r="L21" s="1"/>
      <c r="M21" s="233" t="s">
        <v>91</v>
      </c>
      <c r="N21" s="234">
        <f>_A2+_B2*_T1</f>
        <v>283.34252736116815</v>
      </c>
      <c r="O21" s="235">
        <f>_A2+_B2*_T2</f>
        <v>283.34253128359569</v>
      </c>
      <c r="P21" s="1"/>
      <c r="Q21" s="1"/>
      <c r="R21" s="1"/>
      <c r="S21" s="1"/>
      <c r="T21" s="98" t="s">
        <v>49</v>
      </c>
      <c r="U21" s="215">
        <f t="shared" si="1"/>
        <v>-64.864028015472655</v>
      </c>
      <c r="V21" s="223">
        <f>ATAN(TAN(hs)/COS(V-Ws))</f>
        <v>-1.1320908549758413</v>
      </c>
    </row>
    <row r="22" spans="1:22" ht="18" customHeight="1">
      <c r="A22" s="4"/>
      <c r="B22" s="51" t="s">
        <v>2</v>
      </c>
      <c r="C22" s="322" t="s">
        <v>38</v>
      </c>
      <c r="D22" s="322"/>
      <c r="E22" s="322"/>
      <c r="F22" s="323"/>
      <c r="G22" s="23">
        <v>65</v>
      </c>
      <c r="H22" s="28">
        <v>3.4</v>
      </c>
      <c r="I22" s="1"/>
      <c r="J22" s="253"/>
      <c r="K22" s="254"/>
      <c r="L22" s="1"/>
      <c r="M22" s="233" t="s">
        <v>90</v>
      </c>
      <c r="N22" s="236">
        <f>N21*PI()/180</f>
        <v>4.9452600133745044</v>
      </c>
      <c r="O22" s="237">
        <f>O21*PI()/180</f>
        <v>4.94526008183378</v>
      </c>
      <c r="P22" s="1"/>
      <c r="Q22" s="133"/>
      <c r="R22" s="42"/>
      <c r="S22" s="1"/>
      <c r="T22" s="109" t="s">
        <v>75</v>
      </c>
      <c r="U22" s="214">
        <f t="shared" si="1"/>
        <v>31.994552055224492</v>
      </c>
      <c r="V22" s="220">
        <f>K*ATAN(COS(Gs)*TAN(V-Ws)/SIN(Gs-d))</f>
        <v>0.55841027606438598</v>
      </c>
    </row>
    <row r="23" spans="1:22" ht="18" customHeight="1">
      <c r="A23" s="4"/>
      <c r="B23" s="9"/>
      <c r="C23" s="4"/>
      <c r="D23" s="4"/>
      <c r="E23" s="4"/>
      <c r="F23" s="24"/>
      <c r="G23" s="21"/>
      <c r="H23" s="54" t="str">
        <f>IF(NOT(INT(G22)=G22),"EINGABEFEHLER!  ","")</f>
        <v/>
      </c>
      <c r="I23" s="1"/>
      <c r="J23" s="251" t="s">
        <v>102</v>
      </c>
      <c r="K23" s="255">
        <v>0.98564733744010957</v>
      </c>
      <c r="L23" s="1"/>
      <c r="M23" s="233" t="s">
        <v>92</v>
      </c>
      <c r="N23" s="236">
        <f>N20-N22</f>
        <v>147.06519222670588</v>
      </c>
      <c r="O23" s="237">
        <f>(O20-O22)</f>
        <v>147.06662572418838</v>
      </c>
      <c r="P23" s="1"/>
      <c r="Q23" s="134"/>
      <c r="R23" s="1"/>
      <c r="S23" s="1"/>
      <c r="T23" s="132" t="s">
        <v>76</v>
      </c>
      <c r="U23" s="215">
        <f>IF(var="Error",#N/A,DEGREES(js))</f>
        <v>-2.6317452482213981</v>
      </c>
      <c r="V23" s="225">
        <f>ATAN(COS(taus)*_xlfn.COT(Gs-d))</f>
        <v>-4.5932619655178836E-2</v>
      </c>
    </row>
    <row r="24" spans="1:22" ht="18" customHeight="1">
      <c r="A24" s="4"/>
      <c r="B24" s="11" t="s">
        <v>110</v>
      </c>
      <c r="C24" s="1"/>
      <c r="D24" s="1"/>
      <c r="E24" s="1"/>
      <c r="F24" s="1"/>
      <c r="G24" s="1"/>
      <c r="H24" s="1"/>
      <c r="I24" s="1"/>
      <c r="J24" s="251" t="s">
        <v>103</v>
      </c>
      <c r="K24" s="255">
        <v>4.706913073237508E-5</v>
      </c>
      <c r="L24" s="1"/>
      <c r="M24" s="233" t="s">
        <v>93</v>
      </c>
      <c r="N24" s="236">
        <f>_A3-_B3*_T1</f>
        <v>1.6699166269678305E-2</v>
      </c>
      <c r="O24" s="237">
        <f>_A3-_B3*_T2</f>
        <v>1.6699166173853527E-2</v>
      </c>
      <c r="P24" s="1"/>
      <c r="Q24" s="133"/>
      <c r="R24" s="1"/>
      <c r="S24" s="1"/>
      <c r="T24" s="130" t="s">
        <v>77</v>
      </c>
      <c r="U24" s="214">
        <f>DEGREES(V24)</f>
        <v>332.54619659874351</v>
      </c>
      <c r="V24" s="220">
        <f>grt+taus</f>
        <v>5.8040260456324422</v>
      </c>
    </row>
    <row r="25" spans="1:22" ht="18" customHeight="1" thickBot="1">
      <c r="A25" s="4"/>
      <c r="B25" s="89" t="s">
        <v>61</v>
      </c>
      <c r="C25" s="90">
        <f>IFERROR(ABS(ROUNDDOWN(lat,0))," ")</f>
        <v>2</v>
      </c>
      <c r="D25" s="91">
        <f>IFERROR((ABS(lat)-C25)*60," ")</f>
        <v>37.904714893283888</v>
      </c>
      <c r="E25" s="92" t="str">
        <f>IFERROR(IF(lat&lt;0,"S","N")," ")</f>
        <v>S</v>
      </c>
      <c r="F25" s="93">
        <f>IFERROR(ABS(ROUNDDOWN(lon,0))," ")</f>
        <v>27</v>
      </c>
      <c r="G25" s="94">
        <f>IFERROR((ABS(lon)-F25)*60," ")</f>
        <v>27.228204075390678</v>
      </c>
      <c r="H25" s="95" t="str">
        <f>IFERROR(IF(lon&lt;0,"W","E")," ")</f>
        <v>E</v>
      </c>
      <c r="I25" s="1"/>
      <c r="J25" s="251" t="s">
        <v>104</v>
      </c>
      <c r="K25" s="255">
        <v>1.1498973305954826E-9</v>
      </c>
      <c r="L25" s="1"/>
      <c r="M25" s="233" t="s">
        <v>123</v>
      </c>
      <c r="N25" s="236">
        <f>(2*N24-N24^3/4)*SIN(N23)+5*N24^2/4*SIN(2*N23)+13*N24^3/12*SIN(3*N23)</f>
        <v>1.8254254226384346E-2</v>
      </c>
      <c r="O25" s="237">
        <f>(2*O24-O24^3/4)*SIN(O23)+5*O24^2/4*SIN(2*O23)+13*O24^3/12*SIN(3*O23)</f>
        <v>1.8214831843812666E-2</v>
      </c>
      <c r="P25" s="1"/>
      <c r="Q25" s="135"/>
      <c r="R25" s="1"/>
      <c r="S25" s="1"/>
      <c r="T25" s="110" t="s">
        <v>50</v>
      </c>
      <c r="U25" s="218">
        <f>IF(var="Error",#N/A,DEGREES(ls))</f>
        <v>27.453803401256511</v>
      </c>
      <c r="V25" s="226">
        <f>IF(V24&lt;PI(),-V24,2*PI()-V24)</f>
        <v>0.47915926154714406</v>
      </c>
    </row>
    <row r="26" spans="1:22" ht="18" customHeight="1">
      <c r="A26" s="4"/>
      <c r="B26" s="54" t="s">
        <v>11</v>
      </c>
      <c r="C26" s="294">
        <f>IF(var ="false","nicht verfügbar",(360-LHA°)/15/24+ot)</f>
        <v>0.42220708904229015</v>
      </c>
      <c r="D26" s="294"/>
      <c r="E26" s="88" t="s">
        <v>30</v>
      </c>
      <c r="F26" s="4"/>
      <c r="G26" s="25"/>
      <c r="H26" s="17"/>
      <c r="I26" s="1"/>
      <c r="J26" s="251" t="s">
        <v>105</v>
      </c>
      <c r="K26" s="255">
        <v>3.5607270514868054E-7</v>
      </c>
      <c r="L26" s="1"/>
      <c r="M26" s="238" t="s">
        <v>89</v>
      </c>
      <c r="N26" s="236">
        <f>N20+N25</f>
        <v>152.02870649430676</v>
      </c>
      <c r="O26" s="237">
        <f>O20+O25</f>
        <v>152.03010063786598</v>
      </c>
      <c r="P26" s="1"/>
      <c r="Q26" s="133"/>
      <c r="R26" s="1"/>
      <c r="S26" s="1"/>
      <c r="T26" s="1"/>
      <c r="U26" s="1"/>
      <c r="V26" s="1"/>
    </row>
    <row r="27" spans="1:22" ht="18" customHeight="1">
      <c r="A27" s="5"/>
      <c r="B27" s="9"/>
      <c r="C27" s="4"/>
      <c r="D27" s="4"/>
      <c r="E27" s="4"/>
      <c r="F27" s="4"/>
      <c r="G27" s="4"/>
      <c r="H27" s="4"/>
      <c r="I27" s="1"/>
      <c r="J27" s="124"/>
      <c r="K27" s="123"/>
      <c r="L27" s="1"/>
      <c r="M27" s="238" t="s">
        <v>93</v>
      </c>
      <c r="N27" s="234">
        <f>_A4-_B4*_T1</f>
        <v>23.436121625571019</v>
      </c>
      <c r="O27" s="235">
        <f>_A4-_B4*_T2</f>
        <v>23.436121595898296</v>
      </c>
      <c r="P27" s="1"/>
      <c r="Q27" s="133"/>
      <c r="R27" s="1"/>
      <c r="S27" s="1"/>
      <c r="T27" s="1"/>
      <c r="U27" s="1"/>
      <c r="V27" s="1"/>
    </row>
    <row r="28" spans="1:22" ht="18" customHeight="1" thickBot="1">
      <c r="A28" s="1"/>
      <c r="B28" s="269" t="s">
        <v>111</v>
      </c>
      <c r="C28" s="4"/>
      <c r="D28" s="4"/>
      <c r="E28" s="4"/>
      <c r="F28" s="4"/>
      <c r="G28" s="4"/>
      <c r="H28" s="4"/>
      <c r="I28" s="1"/>
      <c r="J28" s="258" t="s">
        <v>125</v>
      </c>
      <c r="K28" s="268">
        <v>36526</v>
      </c>
      <c r="L28" s="1"/>
      <c r="M28" s="239" t="s">
        <v>94</v>
      </c>
      <c r="N28" s="240">
        <f>N27*PI()/180</f>
        <v>0.40903748626406</v>
      </c>
      <c r="O28" s="241">
        <f>O27*PI()/180</f>
        <v>0.40903748574617327</v>
      </c>
      <c r="P28" s="1"/>
      <c r="Q28" s="133"/>
      <c r="R28" s="1"/>
      <c r="S28" s="1"/>
      <c r="T28" s="15" t="s">
        <v>60</v>
      </c>
      <c r="U28" s="77"/>
      <c r="V28" s="75"/>
    </row>
    <row r="29" spans="1:22" ht="18" customHeight="1" thickBot="1">
      <c r="A29" s="4"/>
      <c r="B29" s="39" t="s">
        <v>20</v>
      </c>
      <c r="C29" s="307">
        <f>G13</f>
        <v>0.33333333333333331</v>
      </c>
      <c r="D29" s="309"/>
      <c r="E29" s="307">
        <f>ot_</f>
        <v>0.41666666666666669</v>
      </c>
      <c r="F29" s="308"/>
      <c r="G29" s="309"/>
      <c r="H29" s="7"/>
      <c r="I29" s="1"/>
      <c r="J29" s="119"/>
      <c r="K29" s="121"/>
      <c r="L29" s="1"/>
      <c r="M29" s="242" t="s">
        <v>95</v>
      </c>
      <c r="N29" s="243">
        <f>ATAN(  (TAN(N20)-TAN(N26)*COS(N28))  /(1+TAN(N20)*TAN(N26)*COS(N28)))</f>
        <v>9.6280135850681375E-3</v>
      </c>
      <c r="O29" s="244">
        <f>ATAN(  (TAN(O20)-TAN(O26)*COS(O28))  /(1+TAN(O20)*TAN(O26)*COS(O28)))</f>
        <v>9.5728173699137394E-3</v>
      </c>
      <c r="P29" s="1"/>
      <c r="Q29" s="133"/>
      <c r="R29" s="1"/>
      <c r="S29" s="1"/>
      <c r="T29" s="78" t="s">
        <v>41</v>
      </c>
      <c r="U29" s="227">
        <f>DEGREES(V29)</f>
        <v>358.00228543460207</v>
      </c>
      <c r="V29" s="228">
        <f>IF(grt_-V24&lt;0,grt_-V24+ 2*PI(),IF(grt_-V24&gt;360,grt_-V24-360,grt_-V24))</f>
        <v>6.2483186104983446</v>
      </c>
    </row>
    <row r="30" spans="1:22" ht="18" customHeight="1" thickBot="1">
      <c r="A30" s="4"/>
      <c r="B30" s="83" t="s">
        <v>21</v>
      </c>
      <c r="C30" s="40">
        <f>INT(N33)</f>
        <v>300</v>
      </c>
      <c r="D30" s="275">
        <f>(N33-C30)*60</f>
        <v>33.098672611139364</v>
      </c>
      <c r="E30" s="320">
        <f>INT(O33)</f>
        <v>330</v>
      </c>
      <c r="F30" s="321"/>
      <c r="G30" s="271">
        <f>(O33-E30)*60</f>
        <v>32.908922000731309</v>
      </c>
      <c r="H30" s="4"/>
      <c r="I30" s="1"/>
      <c r="J30" s="118"/>
      <c r="K30" s="122"/>
      <c r="L30" s="1"/>
      <c r="M30" s="283" t="s">
        <v>124</v>
      </c>
      <c r="N30" s="284">
        <f>IF((ot*24+12)&gt;24,N29+RADIANS(15)*(ot*24-12),N29+RADIANS(15)*(ot*24+12))</f>
        <v>5.2456157695680563</v>
      </c>
      <c r="O30" s="284">
        <f>IF((ot_*24+12)&gt;24,O29+RADIANS(15)*(ot_*24-12),O29+RADIANS(15)*(ot_*24+12))</f>
        <v>5.7691593489512005</v>
      </c>
      <c r="P30" s="1"/>
      <c r="Q30" s="133"/>
      <c r="R30" s="1"/>
      <c r="S30" s="1"/>
      <c r="T30" s="80" t="s">
        <v>42</v>
      </c>
      <c r="U30" s="229">
        <f>DEGREES(V30)</f>
        <v>4.4256719541756144</v>
      </c>
      <c r="V30" s="230">
        <f>IF(LHA_&gt;PI(),ACOS((SIN(d_)-SIN(js)*SIN(h_))/COS(js)/COS(h_)),(2*PI()-ACOS((SIN(d_)-SIN(js)*SIN(h_))/COS(js)/COS(h_))))</f>
        <v>7.7242547213536072E-2</v>
      </c>
    </row>
    <row r="31" spans="1:22" ht="18" customHeight="1">
      <c r="A31" s="4"/>
      <c r="B31" s="84" t="s">
        <v>22</v>
      </c>
      <c r="C31" s="41">
        <f>ROUNDDOWN(N34,0)</f>
        <v>22</v>
      </c>
      <c r="D31" s="276">
        <f>(ABS(N34)-ABS(C31))*60</f>
        <v>2.0226093853656124</v>
      </c>
      <c r="E31" s="310">
        <f>ROUNDDOWN(O34,0)</f>
        <v>22</v>
      </c>
      <c r="F31" s="311"/>
      <c r="G31" s="272">
        <f>(ABS(O34)-ABS(E31))*60</f>
        <v>2.7042221893973561</v>
      </c>
      <c r="H31" s="4"/>
      <c r="I31" s="1"/>
      <c r="J31" s="1"/>
      <c r="K31" s="122"/>
      <c r="L31" s="1"/>
      <c r="M31" s="245" t="s">
        <v>121</v>
      </c>
      <c r="N31" s="282">
        <f>IF(N30&lt;0,N30+2*PI(),N30)</f>
        <v>5.2456157695680563</v>
      </c>
      <c r="O31" s="282">
        <f>IF(O30&lt;0,O30+2*PI(),O30)</f>
        <v>5.7691593489512005</v>
      </c>
      <c r="P31" s="1"/>
      <c r="Q31" s="133"/>
      <c r="R31" s="1"/>
      <c r="S31" s="1"/>
      <c r="T31" s="1"/>
      <c r="U31" s="1"/>
      <c r="V31" s="1"/>
    </row>
    <row r="32" spans="1:22" ht="18" customHeight="1" thickBot="1">
      <c r="A32" s="4"/>
      <c r="B32" s="85" t="s">
        <v>23</v>
      </c>
      <c r="C32" s="41">
        <f>ROUNDDOWN(U17,0)</f>
        <v>328</v>
      </c>
      <c r="D32" s="276">
        <f>(U17-C32)*60</f>
        <v>0.32687668653238688</v>
      </c>
      <c r="E32" s="310">
        <f>ROUNDDOWN(U29,0)</f>
        <v>358</v>
      </c>
      <c r="F32" s="311"/>
      <c r="G32" s="273">
        <f>(U29-E32)*60</f>
        <v>0.13712607612433203</v>
      </c>
      <c r="H32" s="7"/>
      <c r="I32" s="3"/>
      <c r="J32" s="1"/>
      <c r="K32" s="280"/>
      <c r="L32" s="1"/>
      <c r="M32" s="246" t="s">
        <v>96</v>
      </c>
      <c r="N32" s="247">
        <f>ASIN(SIN(N26)*SIN(N28))</f>
        <v>0.38456078865969195</v>
      </c>
      <c r="O32" s="248">
        <f>ASIN(SIN(O26)*SIN(O28))</f>
        <v>0.38475906178726038</v>
      </c>
      <c r="P32" s="1"/>
      <c r="Q32" s="133"/>
      <c r="R32" s="1"/>
      <c r="S32" s="1"/>
      <c r="T32" s="1"/>
      <c r="U32" s="1"/>
      <c r="V32" s="1"/>
    </row>
    <row r="33" spans="1:22" ht="18" customHeight="1">
      <c r="A33" s="4"/>
      <c r="B33" s="84" t="s">
        <v>29</v>
      </c>
      <c r="C33" s="41">
        <f>INT(Az°)</f>
        <v>50</v>
      </c>
      <c r="D33" s="276">
        <f>(Az°-C33)*60</f>
        <v>5.1915211945645012</v>
      </c>
      <c r="E33" s="310">
        <f>INT(Az_°)</f>
        <v>4</v>
      </c>
      <c r="F33" s="311"/>
      <c r="G33" s="273">
        <f>(Az_°-E33)*60</f>
        <v>25.540317250536866</v>
      </c>
      <c r="H33" s="290"/>
      <c r="I33" s="290"/>
      <c r="J33" s="290"/>
      <c r="K33" s="280"/>
      <c r="L33" s="1"/>
      <c r="M33" s="245" t="s">
        <v>122</v>
      </c>
      <c r="N33" s="265">
        <f>DEGREES(N31)</f>
        <v>300.55164454351899</v>
      </c>
      <c r="O33" s="265">
        <f>DEGREES(O31)</f>
        <v>330.54848203334552</v>
      </c>
      <c r="P33" s="1"/>
      <c r="Q33" s="133"/>
      <c r="R33" s="1"/>
      <c r="S33" s="1"/>
      <c r="T33" s="1"/>
      <c r="U33" s="1"/>
      <c r="V33" s="1"/>
    </row>
    <row r="34" spans="1:22" ht="18" customHeight="1" thickBot="1">
      <c r="A34" s="4"/>
      <c r="B34" s="86" t="s">
        <v>26</v>
      </c>
      <c r="C34" s="71">
        <f>L12</f>
        <v>50</v>
      </c>
      <c r="D34" s="277">
        <f>M12</f>
        <v>11.02168320382404</v>
      </c>
      <c r="E34" s="292">
        <f>N12</f>
        <v>65</v>
      </c>
      <c r="F34" s="293"/>
      <c r="G34" s="274">
        <f>O12</f>
        <v>14.764063067305244</v>
      </c>
      <c r="H34" s="4"/>
      <c r="I34" s="3"/>
      <c r="J34" s="1"/>
      <c r="K34" s="280"/>
      <c r="L34" s="120"/>
      <c r="M34" s="246" t="s">
        <v>97</v>
      </c>
      <c r="N34" s="266">
        <f>DEGREES(N32)</f>
        <v>22.03371015642276</v>
      </c>
      <c r="O34" s="267">
        <f>DEGREES(O32)</f>
        <v>22.045070369823289</v>
      </c>
      <c r="P34" s="1"/>
      <c r="Q34" s="133"/>
      <c r="R34" s="1"/>
      <c r="S34" s="1"/>
      <c r="T34" s="1"/>
      <c r="U34" s="33"/>
      <c r="V34" s="1"/>
    </row>
    <row r="35" spans="1:22">
      <c r="K35" s="286"/>
      <c r="Q35" s="133"/>
    </row>
    <row r="36" spans="1:22">
      <c r="M36" s="286"/>
      <c r="N36" s="285"/>
      <c r="U36" s="291"/>
    </row>
    <row r="37" spans="1:22">
      <c r="B37" s="281"/>
    </row>
    <row r="39" spans="1:22">
      <c r="B39" s="279"/>
    </row>
  </sheetData>
  <mergeCells count="22">
    <mergeCell ref="U6:U7"/>
    <mergeCell ref="Q19:Q20"/>
    <mergeCell ref="E17:G17"/>
    <mergeCell ref="E31:F31"/>
    <mergeCell ref="L6:M6"/>
    <mergeCell ref="N6:O6"/>
    <mergeCell ref="E30:F30"/>
    <mergeCell ref="C14:F14"/>
    <mergeCell ref="C22:F22"/>
    <mergeCell ref="C20:E20"/>
    <mergeCell ref="E34:F34"/>
    <mergeCell ref="C26:D26"/>
    <mergeCell ref="D6:G6"/>
    <mergeCell ref="G21:H21"/>
    <mergeCell ref="G20:H20"/>
    <mergeCell ref="G12:H12"/>
    <mergeCell ref="G13:H13"/>
    <mergeCell ref="D7:G7"/>
    <mergeCell ref="E29:G29"/>
    <mergeCell ref="C29:D29"/>
    <mergeCell ref="E33:F33"/>
    <mergeCell ref="E32:F32"/>
  </mergeCell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E153-CB63-C74B-98F7-7BA9F0E28284}">
  <dimension ref="A1:T60"/>
  <sheetViews>
    <sheetView workbookViewId="0">
      <selection activeCell="H6" sqref="H6"/>
    </sheetView>
  </sheetViews>
  <sheetFormatPr baseColWidth="10" defaultRowHeight="16"/>
  <sheetData>
    <row r="1" spans="1:20" ht="17" thickBot="1">
      <c r="A1" s="4"/>
      <c r="B1" s="4"/>
      <c r="C1" s="4"/>
      <c r="D1" s="4"/>
      <c r="E1" s="4"/>
      <c r="F1" s="4"/>
      <c r="G1" s="4"/>
      <c r="H1" s="4"/>
      <c r="I1" s="14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1" thickBot="1">
      <c r="A2" s="4"/>
      <c r="B2" s="144" t="s">
        <v>62</v>
      </c>
      <c r="C2" s="4"/>
      <c r="D2" s="4"/>
      <c r="E2" s="4"/>
      <c r="F2" s="4"/>
      <c r="G2" s="4"/>
      <c r="H2" s="4"/>
      <c r="I2" s="143"/>
      <c r="J2" s="326" t="s">
        <v>63</v>
      </c>
      <c r="K2" s="327"/>
      <c r="L2" s="328"/>
      <c r="M2" s="4"/>
      <c r="N2" s="4"/>
      <c r="O2" s="4"/>
      <c r="P2" s="4"/>
      <c r="Q2" s="4"/>
      <c r="R2" s="4"/>
      <c r="S2" s="4"/>
      <c r="T2" s="4"/>
    </row>
    <row r="3" spans="1:20" ht="20">
      <c r="A3" s="4"/>
      <c r="B3" s="4"/>
      <c r="C3" s="4"/>
      <c r="D3" s="4"/>
      <c r="E3" s="4"/>
      <c r="F3" s="4"/>
      <c r="G3" s="4"/>
      <c r="H3" s="4"/>
      <c r="I3" s="143"/>
      <c r="J3" s="145"/>
      <c r="K3" s="145"/>
      <c r="L3" s="145"/>
      <c r="M3" s="4"/>
      <c r="N3" s="4"/>
      <c r="O3" s="4"/>
      <c r="P3" s="4"/>
      <c r="Q3" s="4"/>
      <c r="R3" s="4"/>
      <c r="S3" s="4"/>
      <c r="T3" s="4"/>
    </row>
    <row r="4" spans="1:20" ht="20">
      <c r="A4" s="4"/>
      <c r="B4" s="4"/>
      <c r="C4" s="4"/>
      <c r="D4" s="4"/>
      <c r="E4" s="4"/>
      <c r="F4" s="4"/>
      <c r="G4" s="4"/>
      <c r="H4" s="4"/>
      <c r="I4" s="143"/>
      <c r="J4" s="145"/>
      <c r="K4" s="145"/>
      <c r="L4" s="145"/>
      <c r="M4" s="4"/>
      <c r="N4" s="4"/>
      <c r="O4" s="4"/>
      <c r="P4" s="4"/>
      <c r="Q4" s="4"/>
      <c r="R4" s="4"/>
      <c r="S4" s="4"/>
      <c r="T4" s="4"/>
    </row>
    <row r="5" spans="1:20" ht="16" customHeight="1">
      <c r="A5" s="4"/>
      <c r="B5" s="4"/>
      <c r="C5" s="4"/>
      <c r="D5" s="4"/>
      <c r="E5" s="146"/>
      <c r="F5" s="147"/>
      <c r="G5" s="148" t="s">
        <v>64</v>
      </c>
      <c r="H5" s="149">
        <v>1</v>
      </c>
      <c r="I5" s="143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6" customHeight="1" thickBot="1">
      <c r="A6" s="4"/>
      <c r="B6" s="4"/>
      <c r="C6" s="4"/>
      <c r="D6" s="4"/>
      <c r="E6" s="4"/>
      <c r="F6" s="4"/>
      <c r="G6" s="4"/>
      <c r="H6" s="4"/>
      <c r="I6" s="143"/>
      <c r="J6" s="15" t="s">
        <v>86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6" customHeight="1">
      <c r="A7" s="4"/>
      <c r="B7" s="4"/>
      <c r="C7" s="4"/>
      <c r="D7" s="4"/>
      <c r="E7" s="4"/>
      <c r="F7" s="4"/>
      <c r="G7" s="4"/>
      <c r="H7" s="4"/>
      <c r="I7" s="143"/>
      <c r="J7" s="329" t="s">
        <v>65</v>
      </c>
      <c r="K7" s="330"/>
      <c r="L7" s="330"/>
      <c r="M7" s="150">
        <f>cmg</f>
        <v>135</v>
      </c>
      <c r="N7" s="151"/>
      <c r="O7" s="152"/>
      <c r="P7" s="4"/>
      <c r="Q7" s="4"/>
      <c r="R7" s="4"/>
      <c r="S7" s="4"/>
      <c r="T7" s="4"/>
    </row>
    <row r="8" spans="1:20" ht="16" customHeight="1">
      <c r="A8" s="4"/>
      <c r="B8" s="4"/>
      <c r="C8" s="4"/>
      <c r="D8" s="4"/>
      <c r="E8" s="4"/>
      <c r="F8" s="4"/>
      <c r="G8" s="4"/>
      <c r="H8" s="4"/>
      <c r="I8" s="143"/>
      <c r="J8" s="331" t="s">
        <v>66</v>
      </c>
      <c r="K8" s="332"/>
      <c r="L8" s="332"/>
      <c r="M8" s="153">
        <f>dmg</f>
        <v>0</v>
      </c>
      <c r="N8" s="154" t="s">
        <v>67</v>
      </c>
      <c r="O8" s="155"/>
      <c r="P8" s="4"/>
      <c r="Q8" s="4"/>
      <c r="R8" s="4"/>
      <c r="S8" s="4"/>
      <c r="T8" s="4"/>
    </row>
    <row r="9" spans="1:20" ht="16" customHeight="1">
      <c r="A9" s="4"/>
      <c r="B9" s="4"/>
      <c r="C9" s="4"/>
      <c r="D9" s="4"/>
      <c r="E9" s="4"/>
      <c r="F9" s="4"/>
      <c r="G9" s="4"/>
      <c r="H9" s="4"/>
      <c r="I9" s="143"/>
      <c r="J9" s="331" t="s">
        <v>68</v>
      </c>
      <c r="K9" s="332"/>
      <c r="L9" s="332"/>
      <c r="M9" s="153">
        <f>dmg*COS(RADIANS(cmg))</f>
        <v>0</v>
      </c>
      <c r="N9" s="156" t="s">
        <v>67</v>
      </c>
      <c r="O9" s="157">
        <f>M9/60</f>
        <v>0</v>
      </c>
      <c r="P9" s="4"/>
      <c r="Q9" s="4"/>
      <c r="R9" s="158"/>
      <c r="S9" s="4"/>
      <c r="T9" s="4"/>
    </row>
    <row r="10" spans="1:20" ht="16" customHeight="1">
      <c r="A10" s="4"/>
      <c r="B10" s="4"/>
      <c r="C10" s="4"/>
      <c r="D10" s="4"/>
      <c r="E10" s="4"/>
      <c r="F10" s="4"/>
      <c r="G10" s="4"/>
      <c r="H10" s="4"/>
      <c r="I10" s="143"/>
      <c r="J10" s="331" t="s">
        <v>78</v>
      </c>
      <c r="K10" s="332"/>
      <c r="L10" s="332"/>
      <c r="M10" s="153">
        <f>dmg*SIN(RADIANS(cmg))</f>
        <v>0</v>
      </c>
      <c r="N10" s="156" t="s">
        <v>67</v>
      </c>
      <c r="O10" s="159">
        <f>M10/60/COS(RADIANS(lat))</f>
        <v>0</v>
      </c>
      <c r="P10" s="4"/>
      <c r="Q10" s="4"/>
      <c r="R10" s="158"/>
      <c r="S10" s="4"/>
      <c r="T10" s="4"/>
    </row>
    <row r="11" spans="1:20" ht="16" customHeight="1">
      <c r="A11" s="4"/>
      <c r="B11" s="4"/>
      <c r="C11" s="4"/>
      <c r="D11" s="4"/>
      <c r="E11" s="4"/>
      <c r="F11" s="4"/>
      <c r="G11" s="4"/>
      <c r="H11" s="4"/>
      <c r="I11" s="143"/>
      <c r="J11" s="160"/>
      <c r="K11" s="161"/>
      <c r="L11" s="162" t="s">
        <v>69</v>
      </c>
      <c r="M11" s="163">
        <f>ABS(H5)/40</f>
        <v>2.5000000000000001E-2</v>
      </c>
      <c r="N11" s="161"/>
      <c r="O11" s="164"/>
      <c r="P11" s="4"/>
      <c r="Q11" s="4"/>
      <c r="R11" s="4"/>
      <c r="S11" s="4"/>
      <c r="T11" s="4"/>
    </row>
    <row r="12" spans="1:20" ht="16" customHeight="1">
      <c r="A12" s="4"/>
      <c r="B12" s="4"/>
      <c r="C12" s="4"/>
      <c r="D12" s="4"/>
      <c r="E12" s="4"/>
      <c r="F12" s="4"/>
      <c r="G12" s="4"/>
      <c r="H12" s="4"/>
      <c r="I12" s="143"/>
      <c r="J12" s="165"/>
      <c r="K12" s="166"/>
      <c r="L12" s="167" t="s">
        <v>70</v>
      </c>
      <c r="M12" s="16" t="str">
        <f>IF(LHA°&gt;180,"E","W")</f>
        <v>E</v>
      </c>
      <c r="N12" s="166"/>
      <c r="O12" s="168"/>
      <c r="P12" s="4"/>
      <c r="Q12" s="4"/>
      <c r="R12" s="4"/>
      <c r="S12" s="4"/>
      <c r="T12" s="4"/>
    </row>
    <row r="13" spans="1:20" ht="16" customHeight="1" thickBot="1">
      <c r="A13" s="4"/>
      <c r="B13" s="4"/>
      <c r="C13" s="4"/>
      <c r="D13" s="4"/>
      <c r="E13" s="4"/>
      <c r="F13" s="4"/>
      <c r="G13" s="4"/>
      <c r="H13" s="4"/>
      <c r="I13" s="143"/>
      <c r="J13" s="169"/>
      <c r="K13" s="170"/>
      <c r="L13" s="171" t="s">
        <v>71</v>
      </c>
      <c r="M13" s="172" t="str">
        <f>IF(LHA°_&lt;180,"W","E")</f>
        <v>E</v>
      </c>
      <c r="N13" s="170"/>
      <c r="O13" s="173"/>
      <c r="P13" s="4"/>
      <c r="Q13" s="4"/>
      <c r="R13" s="4"/>
      <c r="S13" s="4"/>
      <c r="T13" s="4"/>
    </row>
    <row r="14" spans="1:20" ht="16" customHeight="1">
      <c r="A14" s="4"/>
      <c r="B14" s="4"/>
      <c r="C14" s="4"/>
      <c r="D14" s="4"/>
      <c r="E14" s="4"/>
      <c r="F14" s="4"/>
      <c r="G14" s="4"/>
      <c r="H14" s="4"/>
      <c r="I14" s="143"/>
      <c r="J14" s="4"/>
      <c r="K14" s="4"/>
      <c r="L14" s="4"/>
      <c r="M14" s="4"/>
      <c r="N14" s="4"/>
      <c r="O14" s="4"/>
      <c r="P14" s="4"/>
      <c r="Q14" s="4"/>
      <c r="R14" s="42"/>
      <c r="S14" s="4"/>
      <c r="T14" s="4"/>
    </row>
    <row r="15" spans="1:20" ht="16" customHeight="1" thickBot="1">
      <c r="A15" s="4"/>
      <c r="B15" s="4"/>
      <c r="C15" s="4"/>
      <c r="D15" s="4"/>
      <c r="E15" s="4"/>
      <c r="F15" s="4"/>
      <c r="G15" s="4"/>
      <c r="H15" s="4"/>
      <c r="I15" s="143"/>
      <c r="J15" s="15" t="s">
        <v>72</v>
      </c>
      <c r="K15" s="42"/>
      <c r="L15" s="42"/>
      <c r="M15" s="42"/>
      <c r="N15" s="42"/>
      <c r="O15" s="42"/>
      <c r="P15" s="42"/>
      <c r="Q15" s="42"/>
      <c r="R15" s="42"/>
      <c r="S15" s="4"/>
      <c r="T15" s="4"/>
    </row>
    <row r="16" spans="1:20" ht="16" customHeight="1" thickBot="1">
      <c r="A16" s="4"/>
      <c r="B16" s="4"/>
      <c r="C16" s="4"/>
      <c r="D16" s="4"/>
      <c r="E16" s="4"/>
      <c r="F16" s="4"/>
      <c r="G16" s="4"/>
      <c r="H16" s="4"/>
      <c r="I16" s="143"/>
      <c r="J16" s="174" t="s">
        <v>73</v>
      </c>
      <c r="K16" s="175" t="s">
        <v>79</v>
      </c>
      <c r="L16" s="211" t="s">
        <v>80</v>
      </c>
      <c r="M16" s="211" t="s">
        <v>81</v>
      </c>
      <c r="N16" s="211" t="s">
        <v>82</v>
      </c>
      <c r="O16" s="176" t="s">
        <v>83</v>
      </c>
      <c r="P16" s="176" t="s">
        <v>84</v>
      </c>
      <c r="Q16" s="177" t="s">
        <v>74</v>
      </c>
      <c r="R16" s="212" t="s">
        <v>85</v>
      </c>
      <c r="S16" s="4"/>
      <c r="T16" s="4"/>
    </row>
    <row r="17" spans="1:20" ht="16" customHeight="1">
      <c r="A17" s="4"/>
      <c r="B17" s="4"/>
      <c r="C17" s="4"/>
      <c r="D17" s="4"/>
      <c r="E17" s="4"/>
      <c r="F17" s="4"/>
      <c r="G17" s="4"/>
      <c r="H17" s="4"/>
      <c r="I17" s="143"/>
      <c r="J17" s="178"/>
      <c r="K17" s="179"/>
      <c r="L17" s="179"/>
      <c r="M17" s="179"/>
      <c r="N17" s="179"/>
      <c r="O17" s="180"/>
      <c r="P17" s="181"/>
      <c r="Q17" s="182"/>
      <c r="R17" s="183"/>
      <c r="S17" s="4"/>
      <c r="T17" s="4"/>
    </row>
    <row r="18" spans="1:20" ht="16" customHeight="1">
      <c r="A18" s="4"/>
      <c r="B18" s="4"/>
      <c r="C18" s="4"/>
      <c r="D18" s="4"/>
      <c r="E18" s="4"/>
      <c r="F18" s="4"/>
      <c r="G18" s="4"/>
      <c r="H18" s="4"/>
      <c r="I18" s="143"/>
      <c r="J18" s="184">
        <f>J19+$M$11</f>
        <v>42.227591973326199</v>
      </c>
      <c r="K18" s="185">
        <f t="shared" ref="K18:K58" si="0">RADIANS(J18)</f>
        <v>0.73701051512327165</v>
      </c>
      <c r="L18" s="185">
        <f>IFERROR(DEGREES(grt+IF(B="W",-1,1)*ACOS((SIN(h)-SIN(d)*SIN(K18))/COS(d)/COS(K18))),#N/A)</f>
        <v>341.81325465464005</v>
      </c>
      <c r="M18" s="185">
        <f>IFERROR(DEGREES(grt_+IF(B_="W",-1,1)*ACOS((SIN(h_)-SIN(d_)*SIN(K18))/COS(d_)/COS(K18))),#N/A)</f>
        <v>347.68894680652573</v>
      </c>
      <c r="N18" s="185">
        <f t="shared" ref="N18:N58" si="1">IFERROR(DEGREES(grt+IF(B="W",-1,1)*ACOS((SIN(hs)-SIN(d)*SIN(K18))/COS(d)/COS(K18))),#N/A)</f>
        <v>341.81325465464005</v>
      </c>
      <c r="O18" s="186">
        <f t="shared" ref="O18:Q40" si="2">IF(L18&lt;0,ABS(L18),IF(L18&gt;360,-(L18-360),IF(AND(L18&gt;180,L18&lt;360),360-L18,-L18)))</f>
        <v>18.186745345359952</v>
      </c>
      <c r="P18" s="187">
        <f>IF(M18&lt;0,ABS(M18),IF(M18&gt;360,-(M18-360),IF(AND(M18&gt;180,M18&lt;360),360-M18,-M18)))</f>
        <v>12.311053193474265</v>
      </c>
      <c r="Q18" s="188">
        <f>IF(N18&lt;0,ABS(N18),IF(N18&gt;360,-(N18-360),IF(AND(N18&gt;180,N18&lt;360),360-N18,-N18)))</f>
        <v>18.186745345359952</v>
      </c>
      <c r="R18" s="189"/>
      <c r="S18" s="4"/>
      <c r="T18" s="4"/>
    </row>
    <row r="19" spans="1:20" ht="16" customHeight="1">
      <c r="A19" s="4"/>
      <c r="B19" s="4"/>
      <c r="C19" s="4"/>
      <c r="D19" s="4"/>
      <c r="E19" s="4"/>
      <c r="F19" s="4"/>
      <c r="G19" s="4"/>
      <c r="H19" s="4"/>
      <c r="I19" s="143"/>
      <c r="J19" s="184">
        <f>J20+$M$11</f>
        <v>42.2025919733262</v>
      </c>
      <c r="K19" s="185">
        <f t="shared" si="0"/>
        <v>0.73657418281027309</v>
      </c>
      <c r="L19" s="185">
        <f t="shared" ref="L19:L42" si="3">IFERROR(DEGREES(grt+IF(B="W",-1,1)*ACOS((SIN(h)-SIN(d)*SIN(K19))/COS(d)/COS(K19))),#N/A)</f>
        <v>341.82376157652055</v>
      </c>
      <c r="M19" s="185">
        <f t="shared" ref="M19:M58" si="4">IFERROR(DEGREES(grt_+IF(B_="W",-1,1)*ACOS((SIN(h_)-SIN(d_)*SIN(K19))/COS(d_)/COS(K19))),#N/A)</f>
        <v>347.72808513689898</v>
      </c>
      <c r="N19" s="185">
        <f t="shared" si="1"/>
        <v>341.82376157652055</v>
      </c>
      <c r="O19" s="186">
        <f t="shared" si="2"/>
        <v>18.176238423479447</v>
      </c>
      <c r="P19" s="187">
        <f t="shared" si="2"/>
        <v>12.271914863101017</v>
      </c>
      <c r="Q19" s="188">
        <f t="shared" si="2"/>
        <v>18.176238423479447</v>
      </c>
      <c r="R19" s="189"/>
      <c r="S19" s="4"/>
      <c r="T19" s="4"/>
    </row>
    <row r="20" spans="1:20" ht="16" customHeight="1">
      <c r="A20" s="4"/>
      <c r="B20" s="4"/>
      <c r="C20" s="4"/>
      <c r="D20" s="4"/>
      <c r="E20" s="4"/>
      <c r="F20" s="4"/>
      <c r="G20" s="4"/>
      <c r="H20" s="4"/>
      <c r="I20" s="143"/>
      <c r="J20" s="184">
        <f t="shared" ref="J20:J35" si="5">J21+$M$11</f>
        <v>42.177591973326201</v>
      </c>
      <c r="K20" s="185">
        <f t="shared" si="0"/>
        <v>0.73613785049727454</v>
      </c>
      <c r="L20" s="185">
        <f t="shared" si="3"/>
        <v>341.83423950793224</v>
      </c>
      <c r="M20" s="185">
        <f t="shared" si="4"/>
        <v>347.76705760509827</v>
      </c>
      <c r="N20" s="185">
        <f t="shared" si="1"/>
        <v>341.83423950793224</v>
      </c>
      <c r="O20" s="186">
        <f t="shared" si="2"/>
        <v>18.165760492067761</v>
      </c>
      <c r="P20" s="187">
        <f t="shared" si="2"/>
        <v>12.232942394901727</v>
      </c>
      <c r="Q20" s="188">
        <f t="shared" si="2"/>
        <v>18.165760492067761</v>
      </c>
      <c r="R20" s="189"/>
      <c r="S20" s="4"/>
      <c r="T20" s="4"/>
    </row>
    <row r="21" spans="1:20" ht="16" customHeight="1">
      <c r="A21" s="4"/>
      <c r="B21" s="4"/>
      <c r="C21" s="4"/>
      <c r="D21" s="4"/>
      <c r="E21" s="4"/>
      <c r="F21" s="4"/>
      <c r="G21" s="4"/>
      <c r="H21" s="4"/>
      <c r="I21" s="143"/>
      <c r="J21" s="184">
        <f t="shared" si="5"/>
        <v>42.152591973326203</v>
      </c>
      <c r="K21" s="185">
        <f t="shared" si="0"/>
        <v>0.73570151818427598</v>
      </c>
      <c r="L21" s="185">
        <f t="shared" si="3"/>
        <v>341.84468850309213</v>
      </c>
      <c r="M21" s="185">
        <f t="shared" si="4"/>
        <v>347.80586542789399</v>
      </c>
      <c r="N21" s="185">
        <f t="shared" si="1"/>
        <v>341.84468850309213</v>
      </c>
      <c r="O21" s="186">
        <f t="shared" si="2"/>
        <v>18.155311496907871</v>
      </c>
      <c r="P21" s="187">
        <f t="shared" si="2"/>
        <v>12.194134572106009</v>
      </c>
      <c r="Q21" s="188">
        <f t="shared" si="2"/>
        <v>18.155311496907871</v>
      </c>
      <c r="R21" s="189"/>
      <c r="S21" s="4"/>
      <c r="T21" s="4"/>
    </row>
    <row r="22" spans="1:20" ht="16" customHeight="1">
      <c r="A22" s="4"/>
      <c r="B22" s="4"/>
      <c r="C22" s="4"/>
      <c r="D22" s="4"/>
      <c r="E22" s="4"/>
      <c r="F22" s="4"/>
      <c r="G22" s="4"/>
      <c r="H22" s="4"/>
      <c r="I22" s="143"/>
      <c r="J22" s="184">
        <f t="shared" si="5"/>
        <v>42.127591973326204</v>
      </c>
      <c r="K22" s="185">
        <f t="shared" si="0"/>
        <v>0.73526518587127743</v>
      </c>
      <c r="L22" s="185">
        <f t="shared" si="3"/>
        <v>341.85510861603643</v>
      </c>
      <c r="M22" s="185">
        <f t="shared" si="4"/>
        <v>347.84450980622762</v>
      </c>
      <c r="N22" s="185">
        <f t="shared" si="1"/>
        <v>341.85510861603643</v>
      </c>
      <c r="O22" s="186">
        <f t="shared" si="2"/>
        <v>18.144891383963568</v>
      </c>
      <c r="P22" s="187">
        <f t="shared" si="2"/>
        <v>12.15549019377238</v>
      </c>
      <c r="Q22" s="188">
        <f t="shared" si="2"/>
        <v>18.144891383963568</v>
      </c>
      <c r="R22" s="189"/>
      <c r="S22" s="4"/>
      <c r="T22" s="4"/>
    </row>
    <row r="23" spans="1:20" ht="16" customHeight="1">
      <c r="A23" s="4"/>
      <c r="B23" s="4"/>
      <c r="C23" s="4"/>
      <c r="D23" s="4"/>
      <c r="E23" s="4"/>
      <c r="F23" s="4"/>
      <c r="G23" s="4"/>
      <c r="H23" s="4"/>
      <c r="I23" s="143"/>
      <c r="J23" s="184">
        <f t="shared" si="5"/>
        <v>42.102591973326206</v>
      </c>
      <c r="K23" s="185">
        <f t="shared" si="0"/>
        <v>0.73482885355827887</v>
      </c>
      <c r="L23" s="185">
        <f t="shared" si="3"/>
        <v>341.86549990062088</v>
      </c>
      <c r="M23" s="185">
        <f t="shared" si="4"/>
        <v>347.88299192550272</v>
      </c>
      <c r="N23" s="185">
        <f t="shared" si="1"/>
        <v>341.86549990062088</v>
      </c>
      <c r="O23" s="186">
        <f t="shared" si="2"/>
        <v>18.134500099379125</v>
      </c>
      <c r="P23" s="187">
        <f t="shared" si="2"/>
        <v>12.117008074497278</v>
      </c>
      <c r="Q23" s="188">
        <f t="shared" si="2"/>
        <v>18.134500099379125</v>
      </c>
      <c r="R23" s="189"/>
      <c r="S23" s="4"/>
      <c r="T23" s="4"/>
    </row>
    <row r="24" spans="1:20" ht="16" customHeight="1">
      <c r="A24" s="4"/>
      <c r="B24" s="4"/>
      <c r="C24" s="4"/>
      <c r="D24" s="4"/>
      <c r="E24" s="4"/>
      <c r="F24" s="4"/>
      <c r="G24" s="4"/>
      <c r="H24" s="4"/>
      <c r="I24" s="143"/>
      <c r="J24" s="184">
        <f t="shared" si="5"/>
        <v>42.077591973326207</v>
      </c>
      <c r="K24" s="185">
        <f t="shared" si="0"/>
        <v>0.73439252124528032</v>
      </c>
      <c r="L24" s="185">
        <f t="shared" si="3"/>
        <v>341.87586241052173</v>
      </c>
      <c r="M24" s="185">
        <f t="shared" si="4"/>
        <v>347.92131295586927</v>
      </c>
      <c r="N24" s="185">
        <f t="shared" si="1"/>
        <v>341.87586241052173</v>
      </c>
      <c r="O24" s="186">
        <f t="shared" si="2"/>
        <v>18.124137589478266</v>
      </c>
      <c r="P24" s="187">
        <f t="shared" si="2"/>
        <v>12.078687044130731</v>
      </c>
      <c r="Q24" s="188">
        <f t="shared" si="2"/>
        <v>18.124137589478266</v>
      </c>
      <c r="R24" s="189"/>
      <c r="S24" s="4"/>
      <c r="T24" s="4"/>
    </row>
    <row r="25" spans="1:20" ht="16" customHeight="1">
      <c r="A25" s="4"/>
      <c r="B25" s="4"/>
      <c r="C25" s="4"/>
      <c r="D25" s="4"/>
      <c r="E25" s="4"/>
      <c r="F25" s="4"/>
      <c r="G25" s="4"/>
      <c r="H25" s="4"/>
      <c r="I25" s="81"/>
      <c r="J25" s="184">
        <f t="shared" si="5"/>
        <v>42.052591973326209</v>
      </c>
      <c r="K25" s="185">
        <f t="shared" si="0"/>
        <v>0.73395618893228176</v>
      </c>
      <c r="L25" s="185">
        <f t="shared" si="3"/>
        <v>341.88619619923645</v>
      </c>
      <c r="M25" s="185">
        <f t="shared" si="4"/>
        <v>347.95947405250138</v>
      </c>
      <c r="N25" s="185">
        <f t="shared" si="1"/>
        <v>341.88619619923645</v>
      </c>
      <c r="O25" s="186">
        <f t="shared" si="2"/>
        <v>18.113803800763549</v>
      </c>
      <c r="P25" s="187">
        <f t="shared" si="2"/>
        <v>12.040525947498622</v>
      </c>
      <c r="Q25" s="188">
        <f t="shared" si="2"/>
        <v>18.113803800763549</v>
      </c>
      <c r="R25" s="189"/>
      <c r="S25" s="4"/>
      <c r="T25" s="4"/>
    </row>
    <row r="26" spans="1:20" ht="16" customHeight="1">
      <c r="A26" s="4"/>
      <c r="B26" s="4"/>
      <c r="C26" s="4"/>
      <c r="D26" s="4"/>
      <c r="E26" s="4"/>
      <c r="F26" s="4"/>
      <c r="G26" s="4"/>
      <c r="H26" s="4"/>
      <c r="I26" s="143"/>
      <c r="J26" s="184">
        <f>J27+$M$11</f>
        <v>42.02759197332621</v>
      </c>
      <c r="K26" s="185">
        <f t="shared" si="0"/>
        <v>0.73351985661928321</v>
      </c>
      <c r="L26" s="185">
        <f t="shared" si="3"/>
        <v>341.89650132008438</v>
      </c>
      <c r="M26" s="185">
        <f t="shared" si="4"/>
        <v>347.99747635586857</v>
      </c>
      <c r="N26" s="185">
        <f t="shared" si="1"/>
        <v>341.89650132008438</v>
      </c>
      <c r="O26" s="186">
        <f t="shared" si="2"/>
        <v>18.103498679915617</v>
      </c>
      <c r="P26" s="187">
        <f t="shared" si="2"/>
        <v>12.002523644131429</v>
      </c>
      <c r="Q26" s="188">
        <f t="shared" si="2"/>
        <v>18.103498679915617</v>
      </c>
      <c r="R26" s="189"/>
      <c r="S26" s="4"/>
      <c r="T26" s="4"/>
    </row>
    <row r="27" spans="1:20" ht="16" customHeight="1">
      <c r="A27" s="4"/>
      <c r="B27" s="4"/>
      <c r="C27" s="4"/>
      <c r="D27" s="4"/>
      <c r="E27" s="4"/>
      <c r="F27" s="4"/>
      <c r="G27" s="4"/>
      <c r="H27" s="4"/>
      <c r="I27" s="143"/>
      <c r="J27" s="184">
        <f t="shared" si="5"/>
        <v>42.002591973326211</v>
      </c>
      <c r="K27" s="185">
        <f t="shared" si="0"/>
        <v>0.73308352430628465</v>
      </c>
      <c r="L27" s="185">
        <f t="shared" si="3"/>
        <v>341.90677782620764</v>
      </c>
      <c r="M27" s="185">
        <f t="shared" si="4"/>
        <v>348.03532099200032</v>
      </c>
      <c r="N27" s="185">
        <f t="shared" si="1"/>
        <v>341.90677782620764</v>
      </c>
      <c r="O27" s="186">
        <f t="shared" si="2"/>
        <v>18.093222173792356</v>
      </c>
      <c r="P27" s="187">
        <f t="shared" si="2"/>
        <v>11.964679007999678</v>
      </c>
      <c r="Q27" s="188">
        <f t="shared" si="2"/>
        <v>18.093222173792356</v>
      </c>
      <c r="R27" s="189"/>
      <c r="S27" s="4"/>
      <c r="T27" s="4"/>
    </row>
    <row r="28" spans="1:20" ht="16" customHeight="1">
      <c r="A28" s="4"/>
      <c r="B28" s="4"/>
      <c r="C28" s="4"/>
      <c r="D28" s="4"/>
      <c r="E28" s="4"/>
      <c r="F28" s="4"/>
      <c r="G28" s="4"/>
      <c r="H28" s="4"/>
      <c r="I28" s="143"/>
      <c r="J28" s="184">
        <f t="shared" si="5"/>
        <v>41.977591973326213</v>
      </c>
      <c r="K28" s="185">
        <f t="shared" si="0"/>
        <v>0.7326471919932861</v>
      </c>
      <c r="L28" s="185">
        <f t="shared" si="3"/>
        <v>341.91702577057157</v>
      </c>
      <c r="M28" s="185">
        <f t="shared" si="4"/>
        <v>348.07300907274458</v>
      </c>
      <c r="N28" s="185">
        <f t="shared" si="1"/>
        <v>341.91702577057157</v>
      </c>
      <c r="O28" s="186">
        <f t="shared" si="2"/>
        <v>18.08297422942843</v>
      </c>
      <c r="P28" s="187">
        <f t="shared" si="2"/>
        <v>11.926990927255417</v>
      </c>
      <c r="Q28" s="188">
        <f t="shared" si="2"/>
        <v>18.08297422942843</v>
      </c>
      <c r="R28" s="189"/>
      <c r="S28" s="4"/>
      <c r="T28" s="4"/>
    </row>
    <row r="29" spans="1:20" ht="16" customHeight="1">
      <c r="A29" s="4"/>
      <c r="B29" s="4"/>
      <c r="C29" s="4"/>
      <c r="D29" s="4"/>
      <c r="E29" s="4"/>
      <c r="F29" s="4"/>
      <c r="G29" s="4"/>
      <c r="H29" s="4"/>
      <c r="I29" s="143"/>
      <c r="J29" s="184">
        <f t="shared" si="5"/>
        <v>41.952591973326214</v>
      </c>
      <c r="K29" s="185">
        <f t="shared" si="0"/>
        <v>0.73221085968028754</v>
      </c>
      <c r="L29" s="185">
        <f t="shared" si="3"/>
        <v>341.9272452059659</v>
      </c>
      <c r="M29" s="185">
        <f t="shared" si="4"/>
        <v>348.11054169602113</v>
      </c>
      <c r="N29" s="185">
        <f t="shared" si="1"/>
        <v>341.9272452059659</v>
      </c>
      <c r="O29" s="186">
        <f t="shared" si="2"/>
        <v>18.072754794034097</v>
      </c>
      <c r="P29" s="187">
        <f t="shared" si="2"/>
        <v>11.88945830397887</v>
      </c>
      <c r="Q29" s="188">
        <f t="shared" si="2"/>
        <v>18.072754794034097</v>
      </c>
      <c r="R29" s="189"/>
      <c r="S29" s="4"/>
      <c r="T29" s="4"/>
    </row>
    <row r="30" spans="1:20" ht="16" customHeight="1">
      <c r="A30" s="4"/>
      <c r="B30" s="4"/>
      <c r="C30" s="4"/>
      <c r="D30" s="4"/>
      <c r="E30" s="4"/>
      <c r="F30" s="4"/>
      <c r="G30" s="4"/>
      <c r="H30" s="4"/>
      <c r="I30" s="143"/>
      <c r="J30" s="184">
        <f t="shared" si="5"/>
        <v>41.927591973326216</v>
      </c>
      <c r="K30" s="185">
        <f t="shared" si="0"/>
        <v>0.73177452736728898</v>
      </c>
      <c r="L30" s="185">
        <f t="shared" si="3"/>
        <v>341.9374361850052</v>
      </c>
      <c r="M30" s="185">
        <f t="shared" si="4"/>
        <v>348.14791994606765</v>
      </c>
      <c r="N30" s="185">
        <f t="shared" si="1"/>
        <v>341.9374361850052</v>
      </c>
      <c r="O30" s="186">
        <f t="shared" si="2"/>
        <v>18.062563814994803</v>
      </c>
      <c r="P30" s="187">
        <f t="shared" si="2"/>
        <v>11.852080053932355</v>
      </c>
      <c r="Q30" s="188">
        <f t="shared" si="2"/>
        <v>18.062563814994803</v>
      </c>
      <c r="R30" s="189"/>
      <c r="S30" s="4"/>
      <c r="T30" s="4"/>
    </row>
    <row r="31" spans="1:20" ht="16" customHeight="1">
      <c r="A31" s="4"/>
      <c r="B31" s="4"/>
      <c r="C31" s="4"/>
      <c r="D31" s="4"/>
      <c r="E31" s="4"/>
      <c r="F31" s="4"/>
      <c r="G31" s="4"/>
      <c r="H31" s="4"/>
      <c r="I31" s="143"/>
      <c r="J31" s="184">
        <f t="shared" si="5"/>
        <v>41.902591973326217</v>
      </c>
      <c r="K31" s="185">
        <f t="shared" si="0"/>
        <v>0.73133819505429043</v>
      </c>
      <c r="L31" s="185">
        <f t="shared" si="3"/>
        <v>341.94759876012944</v>
      </c>
      <c r="M31" s="185">
        <f t="shared" si="4"/>
        <v>348.18514489368158</v>
      </c>
      <c r="N31" s="185">
        <f t="shared" si="1"/>
        <v>341.94759876012944</v>
      </c>
      <c r="O31" s="186">
        <f t="shared" si="2"/>
        <v>18.052401239870562</v>
      </c>
      <c r="P31" s="187">
        <f t="shared" si="2"/>
        <v>11.814855106318419</v>
      </c>
      <c r="Q31" s="188">
        <f t="shared" si="2"/>
        <v>18.052401239870562</v>
      </c>
      <c r="R31" s="189"/>
      <c r="S31" s="4"/>
      <c r="T31" s="4"/>
    </row>
    <row r="32" spans="1:20" ht="16" customHeight="1">
      <c r="A32" s="4"/>
      <c r="B32" s="4"/>
      <c r="C32" s="4"/>
      <c r="D32" s="4"/>
      <c r="E32" s="4"/>
      <c r="F32" s="4"/>
      <c r="G32" s="4"/>
      <c r="H32" s="4"/>
      <c r="I32" s="143"/>
      <c r="J32" s="184">
        <f t="shared" si="5"/>
        <v>41.877591973326219</v>
      </c>
      <c r="K32" s="185">
        <f t="shared" si="0"/>
        <v>0.73090186274129187</v>
      </c>
      <c r="L32" s="185">
        <f t="shared" si="3"/>
        <v>341.95773298360518</v>
      </c>
      <c r="M32" s="185">
        <f t="shared" si="4"/>
        <v>348.22221759645527</v>
      </c>
      <c r="N32" s="185">
        <f t="shared" si="1"/>
        <v>341.95773298360518</v>
      </c>
      <c r="O32" s="186">
        <f t="shared" si="2"/>
        <v>18.042267016394817</v>
      </c>
      <c r="P32" s="187">
        <f t="shared" si="2"/>
        <v>11.777782403544734</v>
      </c>
      <c r="Q32" s="188">
        <f t="shared" si="2"/>
        <v>18.042267016394817</v>
      </c>
      <c r="R32" s="189"/>
      <c r="S32" s="4"/>
      <c r="T32" s="4"/>
    </row>
    <row r="33" spans="1:20" ht="16" customHeight="1">
      <c r="A33" s="4"/>
      <c r="B33" s="4"/>
      <c r="C33" s="4"/>
      <c r="D33" s="4"/>
      <c r="E33" s="4"/>
      <c r="F33" s="4"/>
      <c r="G33" s="4"/>
      <c r="H33" s="4"/>
      <c r="I33" s="143"/>
      <c r="J33" s="184">
        <f t="shared" si="5"/>
        <v>41.85259197332622</v>
      </c>
      <c r="K33" s="185">
        <f t="shared" si="0"/>
        <v>0.73046553042829332</v>
      </c>
      <c r="L33" s="185">
        <f t="shared" si="3"/>
        <v>341.96783890752596</v>
      </c>
      <c r="M33" s="185">
        <f t="shared" si="4"/>
        <v>348.25913909900692</v>
      </c>
      <c r="N33" s="185">
        <f t="shared" si="1"/>
        <v>341.96783890752596</v>
      </c>
      <c r="O33" s="186">
        <f t="shared" si="2"/>
        <v>18.032161092474041</v>
      </c>
      <c r="P33" s="187">
        <f t="shared" si="2"/>
        <v>11.740860900993084</v>
      </c>
      <c r="Q33" s="188">
        <f t="shared" si="2"/>
        <v>18.032161092474041</v>
      </c>
      <c r="R33" s="189"/>
      <c r="S33" s="4"/>
      <c r="T33" s="4"/>
    </row>
    <row r="34" spans="1:20" ht="16" customHeight="1">
      <c r="A34" s="4"/>
      <c r="B34" s="4"/>
      <c r="C34" s="4"/>
      <c r="D34" s="4"/>
      <c r="E34" s="4"/>
      <c r="F34" s="4"/>
      <c r="G34" s="4"/>
      <c r="H34" s="4"/>
      <c r="I34" s="143"/>
      <c r="J34" s="184">
        <f t="shared" si="5"/>
        <v>41.827591973326221</v>
      </c>
      <c r="K34" s="185">
        <f t="shared" si="0"/>
        <v>0.73002919811529476</v>
      </c>
      <c r="L34" s="185">
        <f t="shared" si="3"/>
        <v>341.97791658381288</v>
      </c>
      <c r="M34" s="185">
        <f t="shared" si="4"/>
        <v>348.29591043320545</v>
      </c>
      <c r="N34" s="185">
        <f t="shared" si="1"/>
        <v>341.97791658381288</v>
      </c>
      <c r="O34" s="186">
        <f t="shared" si="2"/>
        <v>18.022083416187115</v>
      </c>
      <c r="P34" s="187">
        <f t="shared" si="2"/>
        <v>11.704089566794551</v>
      </c>
      <c r="Q34" s="188">
        <f t="shared" si="2"/>
        <v>18.022083416187115</v>
      </c>
      <c r="R34" s="189"/>
      <c r="S34" s="4"/>
      <c r="T34" s="4"/>
    </row>
    <row r="35" spans="1:20" ht="16" customHeight="1">
      <c r="A35" s="4"/>
      <c r="B35" s="4"/>
      <c r="C35" s="4"/>
      <c r="D35" s="4"/>
      <c r="E35" s="4"/>
      <c r="F35" s="4"/>
      <c r="G35" s="4"/>
      <c r="H35" s="4"/>
      <c r="I35" s="143"/>
      <c r="J35" s="184">
        <f t="shared" si="5"/>
        <v>41.802591973326223</v>
      </c>
      <c r="K35" s="185">
        <f t="shared" si="0"/>
        <v>0.72959286580229621</v>
      </c>
      <c r="L35" s="185">
        <f t="shared" si="3"/>
        <v>341.98796606421593</v>
      </c>
      <c r="M35" s="185">
        <f t="shared" si="4"/>
        <v>348.33253261839087</v>
      </c>
      <c r="N35" s="185">
        <f t="shared" si="1"/>
        <v>341.98796606421593</v>
      </c>
      <c r="O35" s="186">
        <f t="shared" si="2"/>
        <v>18.012033935784075</v>
      </c>
      <c r="P35" s="187">
        <f t="shared" si="2"/>
        <v>11.667467381609129</v>
      </c>
      <c r="Q35" s="188">
        <f t="shared" si="2"/>
        <v>18.012033935784075</v>
      </c>
      <c r="R35" s="189"/>
      <c r="S35" s="4"/>
      <c r="T35" s="4"/>
    </row>
    <row r="36" spans="1:20">
      <c r="A36" s="4"/>
      <c r="B36" s="4"/>
      <c r="C36" s="4"/>
      <c r="D36" s="4"/>
      <c r="E36" s="4"/>
      <c r="F36" s="4"/>
      <c r="G36" s="4"/>
      <c r="H36" s="4"/>
      <c r="I36" s="143"/>
      <c r="J36" s="184">
        <f>J37+$M$11</f>
        <v>41.777591973326224</v>
      </c>
      <c r="K36" s="185">
        <f t="shared" si="0"/>
        <v>0.72915653348929765</v>
      </c>
      <c r="L36" s="185">
        <f t="shared" si="3"/>
        <v>341.99798740031383</v>
      </c>
      <c r="M36" s="185">
        <f t="shared" si="4"/>
        <v>348.36900666158937</v>
      </c>
      <c r="N36" s="185">
        <f t="shared" si="1"/>
        <v>341.99798740031383</v>
      </c>
      <c r="O36" s="186">
        <f t="shared" si="2"/>
        <v>18.002012599686168</v>
      </c>
      <c r="P36" s="187">
        <f t="shared" si="2"/>
        <v>11.630993338410633</v>
      </c>
      <c r="Q36" s="188">
        <f t="shared" si="2"/>
        <v>18.002012599686168</v>
      </c>
      <c r="R36" s="189"/>
      <c r="S36" s="4"/>
      <c r="T36" s="4"/>
    </row>
    <row r="37" spans="1:20">
      <c r="A37" s="4"/>
      <c r="B37" s="4"/>
      <c r="C37" s="4"/>
      <c r="D37" s="4"/>
      <c r="E37" s="4"/>
      <c r="F37" s="4"/>
      <c r="G37" s="4"/>
      <c r="H37" s="4"/>
      <c r="I37" s="143"/>
      <c r="J37" s="184">
        <v>41.752591973326226</v>
      </c>
      <c r="K37" s="185">
        <f>RADIANS(J37)</f>
        <v>0.7287202011762991</v>
      </c>
      <c r="L37" s="185">
        <f t="shared" si="3"/>
        <v>342.00798064351551</v>
      </c>
      <c r="M37" s="185">
        <f t="shared" si="4"/>
        <v>348.40533355772402</v>
      </c>
      <c r="N37" s="185">
        <f t="shared" si="1"/>
        <v>342.00798064351551</v>
      </c>
      <c r="O37" s="186">
        <f t="shared" si="2"/>
        <v>17.992019356484491</v>
      </c>
      <c r="P37" s="187">
        <f t="shared" si="2"/>
        <v>11.59466644227598</v>
      </c>
      <c r="Q37" s="188">
        <f t="shared" si="2"/>
        <v>17.992019356484491</v>
      </c>
      <c r="R37" s="189"/>
      <c r="S37" s="4"/>
      <c r="T37" s="4"/>
    </row>
    <row r="38" spans="1:20">
      <c r="A38" s="4"/>
      <c r="B38" s="4"/>
      <c r="C38" s="4"/>
      <c r="D38" s="4"/>
      <c r="E38" s="4"/>
      <c r="F38" s="4"/>
      <c r="G38" s="4"/>
      <c r="H38" s="4"/>
      <c r="I38" s="143"/>
      <c r="J38" s="190">
        <f>lat-vb/2</f>
        <v>-2.6317452482213981</v>
      </c>
      <c r="K38" s="191">
        <f>RADIANS(J38)</f>
        <v>-4.5932619655178836E-2</v>
      </c>
      <c r="L38" s="191">
        <f t="shared" si="3"/>
        <v>332.54619659874351</v>
      </c>
      <c r="M38" s="191">
        <f t="shared" si="4"/>
        <v>332.54619659874413</v>
      </c>
      <c r="N38" s="191">
        <f t="shared" si="1"/>
        <v>332.54619659874351</v>
      </c>
      <c r="O38" s="192">
        <f>IF(L38&lt;0,ABS(L38),IF(L38&gt;360,-(L38-360),IF(AND(L38&gt;180,L38&lt;360),360-L38,-L38)))</f>
        <v>27.453803401256494</v>
      </c>
      <c r="P38" s="193">
        <f t="shared" si="2"/>
        <v>27.453803401255868</v>
      </c>
      <c r="Q38" s="194">
        <f t="shared" si="2"/>
        <v>27.453803401256494</v>
      </c>
      <c r="R38" s="189"/>
      <c r="S38" s="4"/>
      <c r="T38" s="4"/>
    </row>
    <row r="39" spans="1:20">
      <c r="A39" s="4"/>
      <c r="B39" s="4"/>
      <c r="C39" s="4"/>
      <c r="D39" s="4"/>
      <c r="E39" s="4"/>
      <c r="F39" s="4"/>
      <c r="G39" s="4"/>
      <c r="H39" s="4"/>
      <c r="I39" s="143"/>
      <c r="J39" s="184">
        <f t="shared" ref="J39:J58" si="6">J38-$M$11</f>
        <v>-2.656745248221398</v>
      </c>
      <c r="K39" s="185">
        <f t="shared" si="0"/>
        <v>-4.6368951968177419E-2</v>
      </c>
      <c r="L39" s="185">
        <f t="shared" si="3"/>
        <v>332.52524618983682</v>
      </c>
      <c r="M39" s="185">
        <f t="shared" si="4"/>
        <v>332.19114240444071</v>
      </c>
      <c r="N39" s="185">
        <f t="shared" si="1"/>
        <v>332.52524618983682</v>
      </c>
      <c r="O39" s="186">
        <f t="shared" si="2"/>
        <v>27.474753810163179</v>
      </c>
      <c r="P39" s="187">
        <f t="shared" si="2"/>
        <v>27.808857595559289</v>
      </c>
      <c r="Q39" s="188">
        <f t="shared" si="2"/>
        <v>27.474753810163179</v>
      </c>
      <c r="R39" s="189"/>
      <c r="S39" s="4"/>
      <c r="T39" s="4"/>
    </row>
    <row r="40" spans="1:20">
      <c r="A40" s="4"/>
      <c r="B40" s="4"/>
      <c r="C40" s="4"/>
      <c r="D40" s="4"/>
      <c r="E40" s="4"/>
      <c r="F40" s="4"/>
      <c r="G40" s="4"/>
      <c r="H40" s="4"/>
      <c r="I40" s="143"/>
      <c r="J40" s="184">
        <f t="shared" si="6"/>
        <v>-2.6817452482213979</v>
      </c>
      <c r="K40" s="185">
        <f t="shared" si="0"/>
        <v>-4.6805284281176002E-2</v>
      </c>
      <c r="L40" s="185">
        <f t="shared" si="3"/>
        <v>332.50426555415606</v>
      </c>
      <c r="M40" s="185">
        <f t="shared" si="4"/>
        <v>331.73364407929824</v>
      </c>
      <c r="N40" s="185">
        <f t="shared" si="1"/>
        <v>332.50426555415606</v>
      </c>
      <c r="O40" s="186">
        <f t="shared" si="2"/>
        <v>27.495734445843937</v>
      </c>
      <c r="P40" s="187">
        <f t="shared" si="2"/>
        <v>28.266355920701756</v>
      </c>
      <c r="Q40" s="188">
        <f t="shared" si="2"/>
        <v>27.495734445843937</v>
      </c>
      <c r="R40" s="189"/>
      <c r="S40" s="4"/>
      <c r="T40" s="4"/>
    </row>
    <row r="41" spans="1:20">
      <c r="A41" s="4"/>
      <c r="B41" s="4"/>
      <c r="C41" s="4"/>
      <c r="D41" s="4"/>
      <c r="E41" s="4"/>
      <c r="F41" s="4"/>
      <c r="G41" s="4"/>
      <c r="H41" s="4"/>
      <c r="I41" s="143"/>
      <c r="J41" s="184">
        <f t="shared" si="6"/>
        <v>-2.7067452482213978</v>
      </c>
      <c r="K41" s="185">
        <f t="shared" si="0"/>
        <v>-4.7241616594174585E-2</v>
      </c>
      <c r="L41" s="185">
        <f t="shared" si="3"/>
        <v>332.48325462653037</v>
      </c>
      <c r="M41" s="185">
        <f t="shared" si="4"/>
        <v>330.87967849157451</v>
      </c>
      <c r="N41" s="185">
        <f t="shared" si="1"/>
        <v>332.48325462653037</v>
      </c>
      <c r="O41" s="186">
        <f t="shared" ref="O41:Q58" si="7">IF(L41&lt;0,ABS(L41),IF(L41&gt;360,-(L41-360),IF(AND(L41&gt;180,L41&lt;360),360-L41,-L41)))</f>
        <v>27.516745373469632</v>
      </c>
      <c r="P41" s="187">
        <f t="shared" si="7"/>
        <v>29.120321508425491</v>
      </c>
      <c r="Q41" s="188">
        <f t="shared" si="7"/>
        <v>27.516745373469632</v>
      </c>
      <c r="R41" s="189"/>
      <c r="S41" s="4"/>
      <c r="T41" s="4"/>
    </row>
    <row r="42" spans="1:20">
      <c r="A42" s="4"/>
      <c r="B42" s="4"/>
      <c r="C42" s="4"/>
      <c r="D42" s="4"/>
      <c r="E42" s="4"/>
      <c r="F42" s="4"/>
      <c r="G42" s="4"/>
      <c r="H42" s="4"/>
      <c r="I42" s="81"/>
      <c r="J42" s="184">
        <f t="shared" si="6"/>
        <v>-2.7317452482213977</v>
      </c>
      <c r="K42" s="185">
        <f t="shared" si="0"/>
        <v>-4.7677948907173161E-2</v>
      </c>
      <c r="L42" s="185">
        <f t="shared" si="3"/>
        <v>332.46221334151812</v>
      </c>
      <c r="M42" s="185" t="e">
        <f t="shared" si="4"/>
        <v>#N/A</v>
      </c>
      <c r="N42" s="185">
        <f t="shared" si="1"/>
        <v>332.46221334151812</v>
      </c>
      <c r="O42" s="186">
        <f t="shared" si="7"/>
        <v>27.537786658481878</v>
      </c>
      <c r="P42" s="187" t="e">
        <f t="shared" si="7"/>
        <v>#N/A</v>
      </c>
      <c r="Q42" s="188">
        <f t="shared" si="7"/>
        <v>27.537786658481878</v>
      </c>
      <c r="R42" s="189"/>
      <c r="S42" s="4"/>
      <c r="T42" s="4"/>
    </row>
    <row r="43" spans="1:20">
      <c r="A43" s="4"/>
      <c r="B43" s="4"/>
      <c r="C43" s="4"/>
      <c r="D43" s="4"/>
      <c r="E43" s="4"/>
      <c r="F43" s="4"/>
      <c r="G43" s="4"/>
      <c r="H43" s="4"/>
      <c r="I43" s="143"/>
      <c r="J43" s="184">
        <f t="shared" si="6"/>
        <v>-2.7567452482213977</v>
      </c>
      <c r="K43" s="185">
        <f t="shared" si="0"/>
        <v>-4.8114281220171744E-2</v>
      </c>
      <c r="L43" s="185">
        <f t="shared" ref="L43:L58" si="8">IFERROR(DEGREES(grt+IF(B="W",-1,1)*ACOS((SIN(h)-SIN(d)*SIN(K43))/COS(d)/COS(K43))),#N/A)</f>
        <v>332.44114163340515</v>
      </c>
      <c r="M43" s="185" t="e">
        <f t="shared" si="4"/>
        <v>#N/A</v>
      </c>
      <c r="N43" s="185">
        <f t="shared" si="1"/>
        <v>332.44114163340515</v>
      </c>
      <c r="O43" s="186">
        <f t="shared" si="7"/>
        <v>27.558858366594848</v>
      </c>
      <c r="P43" s="187" t="e">
        <f t="shared" si="7"/>
        <v>#N/A</v>
      </c>
      <c r="Q43" s="188">
        <f t="shared" si="7"/>
        <v>27.558858366594848</v>
      </c>
      <c r="R43" s="189"/>
      <c r="S43" s="4"/>
      <c r="T43" s="4"/>
    </row>
    <row r="44" spans="1:20">
      <c r="A44" s="4"/>
      <c r="B44" s="4"/>
      <c r="C44" s="4"/>
      <c r="D44" s="4"/>
      <c r="E44" s="4"/>
      <c r="F44" s="4"/>
      <c r="G44" s="4"/>
      <c r="H44" s="4"/>
      <c r="I44" s="143"/>
      <c r="J44" s="184">
        <f t="shared" si="6"/>
        <v>-2.7817452482213976</v>
      </c>
      <c r="K44" s="185">
        <f t="shared" si="0"/>
        <v>-4.8550613533170327E-2</v>
      </c>
      <c r="L44" s="185">
        <f t="shared" si="8"/>
        <v>332.42003943620341</v>
      </c>
      <c r="M44" s="185" t="e">
        <f t="shared" si="4"/>
        <v>#N/A</v>
      </c>
      <c r="N44" s="185">
        <f t="shared" si="1"/>
        <v>332.42003943620341</v>
      </c>
      <c r="O44" s="186">
        <f t="shared" si="7"/>
        <v>27.57996056379659</v>
      </c>
      <c r="P44" s="187" t="e">
        <f t="shared" si="7"/>
        <v>#N/A</v>
      </c>
      <c r="Q44" s="188">
        <f t="shared" si="7"/>
        <v>27.57996056379659</v>
      </c>
      <c r="R44" s="189"/>
      <c r="S44" s="4"/>
      <c r="T44" s="4"/>
    </row>
    <row r="45" spans="1:20">
      <c r="A45" s="4"/>
      <c r="B45" s="4"/>
      <c r="C45" s="4"/>
      <c r="D45" s="4"/>
      <c r="E45" s="4"/>
      <c r="F45" s="4"/>
      <c r="G45" s="4"/>
      <c r="H45" s="4"/>
      <c r="I45" s="143"/>
      <c r="J45" s="184">
        <f t="shared" si="6"/>
        <v>-2.8067452482213975</v>
      </c>
      <c r="K45" s="185">
        <f t="shared" si="0"/>
        <v>-4.8986945846168903E-2</v>
      </c>
      <c r="L45" s="185">
        <f t="shared" si="8"/>
        <v>332.39890668364905</v>
      </c>
      <c r="M45" s="185" t="e">
        <f t="shared" si="4"/>
        <v>#N/A</v>
      </c>
      <c r="N45" s="185">
        <f t="shared" si="1"/>
        <v>332.39890668364905</v>
      </c>
      <c r="O45" s="186">
        <f t="shared" si="7"/>
        <v>27.601093316350955</v>
      </c>
      <c r="P45" s="187" t="e">
        <f t="shared" si="7"/>
        <v>#N/A</v>
      </c>
      <c r="Q45" s="188">
        <f t="shared" si="7"/>
        <v>27.601093316350955</v>
      </c>
      <c r="R45" s="189"/>
      <c r="S45" s="4"/>
      <c r="T45" s="4"/>
    </row>
    <row r="46" spans="1:20">
      <c r="A46" s="4"/>
      <c r="B46" s="4"/>
      <c r="C46" s="4"/>
      <c r="D46" s="4"/>
      <c r="E46" s="4"/>
      <c r="F46" s="4"/>
      <c r="G46" s="4"/>
      <c r="H46" s="4"/>
      <c r="I46" s="143"/>
      <c r="J46" s="184">
        <f t="shared" si="6"/>
        <v>-2.8317452482213974</v>
      </c>
      <c r="K46" s="185">
        <f t="shared" si="0"/>
        <v>-4.9423278159167486E-2</v>
      </c>
      <c r="L46" s="185">
        <f t="shared" si="8"/>
        <v>332.37774330920149</v>
      </c>
      <c r="M46" s="185" t="e">
        <f t="shared" si="4"/>
        <v>#N/A</v>
      </c>
      <c r="N46" s="185">
        <f t="shared" si="1"/>
        <v>332.37774330920149</v>
      </c>
      <c r="O46" s="186">
        <f t="shared" si="7"/>
        <v>27.622256690798508</v>
      </c>
      <c r="P46" s="187" t="e">
        <f t="shared" si="7"/>
        <v>#N/A</v>
      </c>
      <c r="Q46" s="188">
        <f t="shared" si="7"/>
        <v>27.622256690798508</v>
      </c>
      <c r="R46" s="189"/>
      <c r="S46" s="4"/>
      <c r="T46" s="4"/>
    </row>
    <row r="47" spans="1:20">
      <c r="A47" s="4"/>
      <c r="B47" s="4"/>
      <c r="C47" s="4"/>
      <c r="D47" s="4"/>
      <c r="E47" s="4"/>
      <c r="F47" s="4"/>
      <c r="G47" s="4"/>
      <c r="H47" s="4"/>
      <c r="I47" s="143"/>
      <c r="J47" s="184">
        <f t="shared" si="6"/>
        <v>-2.8567452482213973</v>
      </c>
      <c r="K47" s="185">
        <f t="shared" si="0"/>
        <v>-4.9859610472166069E-2</v>
      </c>
      <c r="L47" s="185">
        <f t="shared" si="8"/>
        <v>332.35654924604125</v>
      </c>
      <c r="M47" s="185" t="e">
        <f t="shared" si="4"/>
        <v>#N/A</v>
      </c>
      <c r="N47" s="185">
        <f t="shared" si="1"/>
        <v>332.35654924604125</v>
      </c>
      <c r="O47" s="186">
        <f t="shared" si="7"/>
        <v>27.643450753958746</v>
      </c>
      <c r="P47" s="187" t="e">
        <f t="shared" si="7"/>
        <v>#N/A</v>
      </c>
      <c r="Q47" s="188">
        <f t="shared" si="7"/>
        <v>27.643450753958746</v>
      </c>
      <c r="R47" s="189"/>
      <c r="S47" s="4"/>
      <c r="T47" s="4"/>
    </row>
    <row r="48" spans="1:20">
      <c r="A48" s="4"/>
      <c r="B48" s="4"/>
      <c r="C48" s="4"/>
      <c r="D48" s="4"/>
      <c r="E48" s="4"/>
      <c r="F48" s="4"/>
      <c r="G48" s="4"/>
      <c r="H48" s="4"/>
      <c r="I48" s="143"/>
      <c r="J48" s="184">
        <f t="shared" si="6"/>
        <v>-2.8817452482213972</v>
      </c>
      <c r="K48" s="185">
        <f t="shared" si="0"/>
        <v>-5.0295942785164645E-2</v>
      </c>
      <c r="L48" s="185">
        <f t="shared" si="8"/>
        <v>332.33532442706877</v>
      </c>
      <c r="M48" s="185" t="e">
        <f t="shared" si="4"/>
        <v>#N/A</v>
      </c>
      <c r="N48" s="185">
        <f t="shared" si="1"/>
        <v>332.33532442706877</v>
      </c>
      <c r="O48" s="186">
        <f t="shared" si="7"/>
        <v>27.66467557293123</v>
      </c>
      <c r="P48" s="187" t="e">
        <f t="shared" si="7"/>
        <v>#N/A</v>
      </c>
      <c r="Q48" s="188">
        <f t="shared" si="7"/>
        <v>27.66467557293123</v>
      </c>
      <c r="R48" s="189"/>
      <c r="S48" s="4"/>
      <c r="T48" s="4"/>
    </row>
    <row r="49" spans="1:20">
      <c r="A49" s="4"/>
      <c r="B49" s="4"/>
      <c r="C49" s="4"/>
      <c r="D49" s="4"/>
      <c r="E49" s="4"/>
      <c r="F49" s="4"/>
      <c r="G49" s="4"/>
      <c r="H49" s="4"/>
      <c r="I49" s="143"/>
      <c r="J49" s="184">
        <f t="shared" si="6"/>
        <v>-2.9067452482213971</v>
      </c>
      <c r="K49" s="185">
        <f t="shared" si="0"/>
        <v>-5.0732275098163228E-2</v>
      </c>
      <c r="L49" s="185">
        <f t="shared" si="8"/>
        <v>332.31406878490259</v>
      </c>
      <c r="M49" s="185" t="e">
        <f t="shared" si="4"/>
        <v>#N/A</v>
      </c>
      <c r="N49" s="185">
        <f t="shared" si="1"/>
        <v>332.31406878490259</v>
      </c>
      <c r="O49" s="186">
        <f t="shared" si="7"/>
        <v>27.685931215097412</v>
      </c>
      <c r="P49" s="187" t="e">
        <f t="shared" si="7"/>
        <v>#N/A</v>
      </c>
      <c r="Q49" s="188">
        <f t="shared" si="7"/>
        <v>27.685931215097412</v>
      </c>
      <c r="R49" s="189"/>
      <c r="S49" s="4"/>
      <c r="T49" s="4"/>
    </row>
    <row r="50" spans="1:20">
      <c r="A50" s="4"/>
      <c r="B50" s="4"/>
      <c r="C50" s="4"/>
      <c r="D50" s="4"/>
      <c r="E50" s="4"/>
      <c r="F50" s="4"/>
      <c r="G50" s="4"/>
      <c r="H50" s="4"/>
      <c r="I50" s="143"/>
      <c r="J50" s="184">
        <f t="shared" si="6"/>
        <v>-2.931745248221397</v>
      </c>
      <c r="K50" s="185">
        <f t="shared" si="0"/>
        <v>-5.1168607411161811E-2</v>
      </c>
      <c r="L50" s="185">
        <f t="shared" si="8"/>
        <v>332.29278225187778</v>
      </c>
      <c r="M50" s="185" t="e">
        <f t="shared" si="4"/>
        <v>#N/A</v>
      </c>
      <c r="N50" s="185">
        <f t="shared" si="1"/>
        <v>332.29278225187778</v>
      </c>
      <c r="O50" s="186">
        <f t="shared" si="7"/>
        <v>27.707217748122218</v>
      </c>
      <c r="P50" s="187" t="e">
        <f t="shared" si="7"/>
        <v>#N/A</v>
      </c>
      <c r="Q50" s="188">
        <f t="shared" si="7"/>
        <v>27.707217748122218</v>
      </c>
      <c r="R50" s="189"/>
      <c r="S50" s="4"/>
      <c r="T50" s="4"/>
    </row>
    <row r="51" spans="1:20">
      <c r="A51" s="4"/>
      <c r="B51" s="4"/>
      <c r="C51" s="4"/>
      <c r="D51" s="4"/>
      <c r="E51" s="4"/>
      <c r="F51" s="4"/>
      <c r="G51" s="4"/>
      <c r="H51" s="4"/>
      <c r="I51" s="143"/>
      <c r="J51" s="184">
        <f t="shared" si="6"/>
        <v>-2.9567452482213969</v>
      </c>
      <c r="K51" s="185">
        <f t="shared" si="0"/>
        <v>-5.1604939724160387E-2</v>
      </c>
      <c r="L51" s="185">
        <f t="shared" si="8"/>
        <v>332.27146476004447</v>
      </c>
      <c r="M51" s="185" t="e">
        <f t="shared" si="4"/>
        <v>#N/A</v>
      </c>
      <c r="N51" s="185">
        <f t="shared" si="1"/>
        <v>332.27146476004447</v>
      </c>
      <c r="O51" s="186">
        <f t="shared" si="7"/>
        <v>27.728535239955534</v>
      </c>
      <c r="P51" s="187" t="e">
        <f t="shared" si="7"/>
        <v>#N/A</v>
      </c>
      <c r="Q51" s="188">
        <f t="shared" si="7"/>
        <v>27.728535239955534</v>
      </c>
      <c r="R51" s="189"/>
      <c r="S51" s="4"/>
      <c r="T51" s="4"/>
    </row>
    <row r="52" spans="1:20">
      <c r="A52" s="4"/>
      <c r="B52" s="4"/>
      <c r="C52" s="4"/>
      <c r="D52" s="4"/>
      <c r="E52" s="4"/>
      <c r="F52" s="4"/>
      <c r="G52" s="4"/>
      <c r="H52" s="4"/>
      <c r="I52" s="143"/>
      <c r="J52" s="184">
        <f t="shared" si="6"/>
        <v>-2.9817452482213969</v>
      </c>
      <c r="K52" s="185">
        <f t="shared" si="0"/>
        <v>-5.204127203715897E-2</v>
      </c>
      <c r="L52" s="185">
        <f t="shared" si="8"/>
        <v>332.25011624116604</v>
      </c>
      <c r="M52" s="185" t="e">
        <f t="shared" si="4"/>
        <v>#N/A</v>
      </c>
      <c r="N52" s="185">
        <f t="shared" si="1"/>
        <v>332.25011624116604</v>
      </c>
      <c r="O52" s="186">
        <f t="shared" si="7"/>
        <v>27.74988375883396</v>
      </c>
      <c r="P52" s="187" t="e">
        <f t="shared" si="7"/>
        <v>#N/A</v>
      </c>
      <c r="Q52" s="188">
        <f t="shared" si="7"/>
        <v>27.74988375883396</v>
      </c>
      <c r="R52" s="189"/>
      <c r="S52" s="4"/>
      <c r="T52" s="4"/>
    </row>
    <row r="53" spans="1:20">
      <c r="A53" s="4"/>
      <c r="B53" s="4"/>
      <c r="C53" s="4"/>
      <c r="D53" s="4"/>
      <c r="E53" s="4"/>
      <c r="F53" s="4"/>
      <c r="G53" s="4"/>
      <c r="H53" s="4"/>
      <c r="I53" s="143"/>
      <c r="J53" s="184">
        <f t="shared" si="6"/>
        <v>-3.0067452482213968</v>
      </c>
      <c r="K53" s="185">
        <f t="shared" si="0"/>
        <v>-5.2477604350157553E-2</v>
      </c>
      <c r="L53" s="185">
        <f t="shared" si="8"/>
        <v>332.22873662671765</v>
      </c>
      <c r="M53" s="185" t="e">
        <f t="shared" si="4"/>
        <v>#N/A</v>
      </c>
      <c r="N53" s="185">
        <f t="shared" si="1"/>
        <v>332.22873662671765</v>
      </c>
      <c r="O53" s="186">
        <f t="shared" si="7"/>
        <v>27.771263373282352</v>
      </c>
      <c r="P53" s="187" t="e">
        <f t="shared" si="7"/>
        <v>#N/A</v>
      </c>
      <c r="Q53" s="188">
        <f t="shared" si="7"/>
        <v>27.771263373282352</v>
      </c>
      <c r="R53" s="189"/>
      <c r="S53" s="4"/>
      <c r="T53" s="4"/>
    </row>
    <row r="54" spans="1:20">
      <c r="A54" s="4"/>
      <c r="B54" s="4"/>
      <c r="C54" s="4"/>
      <c r="D54" s="4"/>
      <c r="E54" s="4"/>
      <c r="F54" s="4"/>
      <c r="G54" s="4"/>
      <c r="H54" s="4"/>
      <c r="I54" s="143"/>
      <c r="J54" s="184">
        <f t="shared" si="6"/>
        <v>-3.0317452482213967</v>
      </c>
      <c r="K54" s="185">
        <f t="shared" si="0"/>
        <v>-5.2913936663156129E-2</v>
      </c>
      <c r="L54" s="185">
        <f t="shared" si="8"/>
        <v>332.20732584788442</v>
      </c>
      <c r="M54" s="185" t="e">
        <f t="shared" si="4"/>
        <v>#N/A</v>
      </c>
      <c r="N54" s="185">
        <f t="shared" si="1"/>
        <v>332.20732584788442</v>
      </c>
      <c r="O54" s="186">
        <f t="shared" si="7"/>
        <v>27.79267415211558</v>
      </c>
      <c r="P54" s="187" t="e">
        <f t="shared" si="7"/>
        <v>#N/A</v>
      </c>
      <c r="Q54" s="188">
        <f t="shared" si="7"/>
        <v>27.79267415211558</v>
      </c>
      <c r="R54" s="189"/>
      <c r="S54" s="4"/>
      <c r="T54" s="4"/>
    </row>
    <row r="55" spans="1:20">
      <c r="A55" s="4"/>
      <c r="B55" s="4"/>
      <c r="C55" s="4"/>
      <c r="D55" s="4"/>
      <c r="E55" s="4"/>
      <c r="F55" s="4"/>
      <c r="G55" s="4"/>
      <c r="H55" s="4"/>
      <c r="I55" s="143"/>
      <c r="J55" s="184">
        <f t="shared" si="6"/>
        <v>-3.0567452482213966</v>
      </c>
      <c r="K55" s="185">
        <f t="shared" si="0"/>
        <v>-5.3350268976154712E-2</v>
      </c>
      <c r="L55" s="185">
        <f t="shared" si="8"/>
        <v>332.18588383555988</v>
      </c>
      <c r="M55" s="185" t="e">
        <f t="shared" si="4"/>
        <v>#N/A</v>
      </c>
      <c r="N55" s="185">
        <f t="shared" si="1"/>
        <v>332.18588383555988</v>
      </c>
      <c r="O55" s="186">
        <f t="shared" si="7"/>
        <v>27.814116164440122</v>
      </c>
      <c r="P55" s="187" t="e">
        <f t="shared" si="7"/>
        <v>#N/A</v>
      </c>
      <c r="Q55" s="188">
        <f t="shared" si="7"/>
        <v>27.814116164440122</v>
      </c>
      <c r="R55" s="189"/>
      <c r="S55" s="4"/>
      <c r="T55" s="4"/>
    </row>
    <row r="56" spans="1:20">
      <c r="A56" s="4"/>
      <c r="B56" s="4"/>
      <c r="C56" s="4"/>
      <c r="D56" s="4"/>
      <c r="E56" s="4"/>
      <c r="F56" s="4"/>
      <c r="G56" s="4"/>
      <c r="H56" s="4"/>
      <c r="I56" s="143"/>
      <c r="J56" s="184">
        <f t="shared" si="6"/>
        <v>-3.0817452482213965</v>
      </c>
      <c r="K56" s="185">
        <f t="shared" si="0"/>
        <v>-5.3786601289153295E-2</v>
      </c>
      <c r="L56" s="185">
        <f t="shared" si="8"/>
        <v>332.16441052034423</v>
      </c>
      <c r="M56" s="185" t="e">
        <f t="shared" si="4"/>
        <v>#N/A</v>
      </c>
      <c r="N56" s="185">
        <f t="shared" si="1"/>
        <v>332.16441052034423</v>
      </c>
      <c r="O56" s="186">
        <f t="shared" si="7"/>
        <v>27.835589479655766</v>
      </c>
      <c r="P56" s="187" t="e">
        <f t="shared" si="7"/>
        <v>#N/A</v>
      </c>
      <c r="Q56" s="188">
        <f t="shared" si="7"/>
        <v>27.835589479655766</v>
      </c>
      <c r="R56" s="189"/>
      <c r="S56" s="4"/>
      <c r="T56" s="4"/>
    </row>
    <row r="57" spans="1:20">
      <c r="A57" s="4"/>
      <c r="B57" s="4"/>
      <c r="C57" s="4"/>
      <c r="D57" s="4"/>
      <c r="E57" s="4"/>
      <c r="F57" s="4"/>
      <c r="G57" s="4"/>
      <c r="H57" s="4"/>
      <c r="I57" s="143"/>
      <c r="J57" s="184">
        <f t="shared" si="6"/>
        <v>-3.1067452482213964</v>
      </c>
      <c r="K57" s="185">
        <f t="shared" si="0"/>
        <v>-5.4222933602151878E-2</v>
      </c>
      <c r="L57" s="185">
        <f t="shared" si="8"/>
        <v>332.14290583254279</v>
      </c>
      <c r="M57" s="185" t="e">
        <f t="shared" si="4"/>
        <v>#N/A</v>
      </c>
      <c r="N57" s="185">
        <f t="shared" si="1"/>
        <v>332.14290583254279</v>
      </c>
      <c r="O57" s="186">
        <f t="shared" si="7"/>
        <v>27.857094167457205</v>
      </c>
      <c r="P57" s="187" t="e">
        <f t="shared" si="7"/>
        <v>#N/A</v>
      </c>
      <c r="Q57" s="188">
        <f t="shared" si="7"/>
        <v>27.857094167457205</v>
      </c>
      <c r="R57" s="189"/>
      <c r="S57" s="4"/>
      <c r="T57" s="4"/>
    </row>
    <row r="58" spans="1:20" ht="17" thickBot="1">
      <c r="A58" s="4"/>
      <c r="B58" s="4"/>
      <c r="C58" s="4"/>
      <c r="D58" s="4"/>
      <c r="E58" s="4"/>
      <c r="F58" s="4"/>
      <c r="G58" s="4"/>
      <c r="H58" s="4"/>
      <c r="I58" s="143"/>
      <c r="J58" s="184">
        <f t="shared" si="6"/>
        <v>-3.1317452482213963</v>
      </c>
      <c r="K58" s="185">
        <f t="shared" si="0"/>
        <v>-5.4659265915150454E-2</v>
      </c>
      <c r="L58" s="185">
        <f t="shared" si="8"/>
        <v>332.12136970216397</v>
      </c>
      <c r="M58" s="185" t="e">
        <f t="shared" si="4"/>
        <v>#N/A</v>
      </c>
      <c r="N58" s="185">
        <f t="shared" si="1"/>
        <v>332.12136970216397</v>
      </c>
      <c r="O58" s="186">
        <f t="shared" si="7"/>
        <v>27.878630297836025</v>
      </c>
      <c r="P58" s="187" t="e">
        <f t="shared" si="7"/>
        <v>#N/A</v>
      </c>
      <c r="Q58" s="188">
        <f t="shared" si="7"/>
        <v>27.878630297836025</v>
      </c>
      <c r="R58" s="195"/>
      <c r="S58" s="4"/>
      <c r="T58" s="4"/>
    </row>
    <row r="59" spans="1:20">
      <c r="A59" s="4"/>
      <c r="B59" s="4"/>
      <c r="C59" s="4"/>
      <c r="D59" s="4"/>
      <c r="E59" s="4"/>
      <c r="F59" s="4"/>
      <c r="G59" s="4"/>
      <c r="H59" s="4"/>
      <c r="I59" s="143"/>
      <c r="J59" s="196">
        <f>J60-vb</f>
        <v>-2.6317452482213981</v>
      </c>
      <c r="K59" s="197"/>
      <c r="L59" s="198"/>
      <c r="M59" s="199"/>
      <c r="N59" s="199"/>
      <c r="O59" s="200"/>
      <c r="P59" s="201"/>
      <c r="Q59" s="202"/>
      <c r="R59" s="203">
        <f>R60-vl</f>
        <v>27.453803401256511</v>
      </c>
      <c r="S59" s="4"/>
      <c r="T59" s="4"/>
    </row>
    <row r="60" spans="1:20" ht="17" thickBot="1">
      <c r="A60" s="4"/>
      <c r="B60" s="4"/>
      <c r="C60" s="4"/>
      <c r="D60" s="4"/>
      <c r="E60" s="4"/>
      <c r="F60" s="4"/>
      <c r="G60" s="4"/>
      <c r="H60" s="4"/>
      <c r="I60" s="143"/>
      <c r="J60" s="204">
        <f>lat</f>
        <v>-2.6317452482213981</v>
      </c>
      <c r="K60" s="205"/>
      <c r="L60" s="205"/>
      <c r="M60" s="206"/>
      <c r="N60" s="206"/>
      <c r="O60" s="207"/>
      <c r="P60" s="208"/>
      <c r="Q60" s="209"/>
      <c r="R60" s="210">
        <f>lon</f>
        <v>27.453803401256511</v>
      </c>
      <c r="S60" s="4"/>
      <c r="T60" s="4"/>
    </row>
  </sheetData>
  <mergeCells count="5">
    <mergeCell ref="J2:L2"/>
    <mergeCell ref="J7:L7"/>
    <mergeCell ref="J8:L8"/>
    <mergeCell ref="J9:L9"/>
    <mergeCell ref="J10:L1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57</vt:i4>
      </vt:variant>
    </vt:vector>
  </HeadingPairs>
  <TitlesOfParts>
    <vt:vector size="59" baseType="lpstr">
      <vt:lpstr>Tabelle1</vt:lpstr>
      <vt:lpstr>Grafik</vt:lpstr>
      <vt:lpstr>_A1</vt:lpstr>
      <vt:lpstr>_A2</vt:lpstr>
      <vt:lpstr>_A3</vt:lpstr>
      <vt:lpstr>_A4</vt:lpstr>
      <vt:lpstr>_B1</vt:lpstr>
      <vt:lpstr>_B2</vt:lpstr>
      <vt:lpstr>_B3</vt:lpstr>
      <vt:lpstr>_B4</vt:lpstr>
      <vt:lpstr>_T1</vt:lpstr>
      <vt:lpstr>_T2</vt:lpstr>
      <vt:lpstr>Az_°</vt:lpstr>
      <vt:lpstr>Az°</vt:lpstr>
      <vt:lpstr>B</vt:lpstr>
      <vt:lpstr>B_</vt:lpstr>
      <vt:lpstr>cmg</vt:lpstr>
      <vt:lpstr>d</vt:lpstr>
      <vt:lpstr>d_</vt:lpstr>
      <vt:lpstr>dat</vt:lpstr>
      <vt:lpstr>dat_</vt:lpstr>
      <vt:lpstr>dmg</vt:lpstr>
      <vt:lpstr>F</vt:lpstr>
      <vt:lpstr>false</vt:lpstr>
      <vt:lpstr>G</vt:lpstr>
      <vt:lpstr>grt</vt:lpstr>
      <vt:lpstr>grt_</vt:lpstr>
      <vt:lpstr>Gs</vt:lpstr>
      <vt:lpstr>h</vt:lpstr>
      <vt:lpstr>h_</vt:lpstr>
      <vt:lpstr>h_°</vt:lpstr>
      <vt:lpstr>h°</vt:lpstr>
      <vt:lpstr>hs</vt:lpstr>
      <vt:lpstr>j</vt:lpstr>
      <vt:lpstr>js</vt:lpstr>
      <vt:lpstr>K</vt:lpstr>
      <vt:lpstr>lat</vt:lpstr>
      <vt:lpstr>lat°</vt:lpstr>
      <vt:lpstr>LHA</vt:lpstr>
      <vt:lpstr>LHA_</vt:lpstr>
      <vt:lpstr>LHA°</vt:lpstr>
      <vt:lpstr>LHA°_</vt:lpstr>
      <vt:lpstr>lon</vt:lpstr>
      <vt:lpstr>ls</vt:lpstr>
      <vt:lpstr>ot</vt:lpstr>
      <vt:lpstr>ot_</vt:lpstr>
      <vt:lpstr>P</vt:lpstr>
      <vt:lpstr>q</vt:lpstr>
      <vt:lpstr>ref</vt:lpstr>
      <vt:lpstr>tau</vt:lpstr>
      <vt:lpstr>taus</vt:lpstr>
      <vt:lpstr>TG</vt:lpstr>
      <vt:lpstr>V</vt:lpstr>
      <vt:lpstr>var</vt:lpstr>
      <vt:lpstr>vb</vt:lpstr>
      <vt:lpstr>vl</vt:lpstr>
      <vt:lpstr>W</vt:lpstr>
      <vt:lpstr>Ws</vt:lpstr>
      <vt:lpstr>z_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Helmut Hoffrichter</cp:lastModifiedBy>
  <dcterms:created xsi:type="dcterms:W3CDTF">2018-01-04T14:37:05Z</dcterms:created>
  <dcterms:modified xsi:type="dcterms:W3CDTF">2023-05-17T10:08:23Z</dcterms:modified>
</cp:coreProperties>
</file>