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showInkAnnotation="0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B2EF5CB1-A5D8-7447-853B-196FEDC93DFA}" xr6:coauthVersionLast="36" xr6:coauthVersionMax="36" xr10:uidLastSave="{00000000-0000-0000-0000-000000000000}"/>
  <bookViews>
    <workbookView xWindow="3380" yWindow="500" windowWidth="13820" windowHeight="21100" xr2:uid="{00000000-000D-0000-FFFF-FFFF00000000}"/>
  </bookViews>
  <sheets>
    <sheet name="Navigation" sheetId="1" r:id="rId1"/>
  </sheets>
  <definedNames>
    <definedName name="_A1">Navigation!$O$27</definedName>
    <definedName name="_A2">Navigation!$O$28</definedName>
    <definedName name="_A3">Navigation!$O$29</definedName>
    <definedName name="_A4">Navigation!$O$30</definedName>
    <definedName name="_B1">Navigation!$O$32</definedName>
    <definedName name="_B2">Navigation!$O$33</definedName>
    <definedName name="_B3">Navigation!$O$34</definedName>
    <definedName name="_B4">Navigation!$O$35</definedName>
    <definedName name="_ot">Navigation!$C$36</definedName>
    <definedName name="_T1">Navigation!$R$21</definedName>
    <definedName name="_T2">Navigation!$U$21</definedName>
    <definedName name="_T3">Navigation!$S$21</definedName>
    <definedName name="_T4">Navigation!$T$21</definedName>
    <definedName name="d">Navigation!$R$35</definedName>
    <definedName name="d_">Navigation!$U$35</definedName>
    <definedName name="dat">Navigation!$C$10</definedName>
    <definedName name="dat_">Navigation!$C$35</definedName>
    <definedName name="dek">Navigation!#REF!</definedName>
    <definedName name="dir">Navigation!$E$38</definedName>
    <definedName name="Grt">Navigation!$R$34</definedName>
    <definedName name="Grt_">Navigation!$U$34</definedName>
    <definedName name="h">Navigation!$S$13</definedName>
    <definedName name="h_">Navigation!$U$13</definedName>
    <definedName name="hmb">Navigation!#REF!</definedName>
    <definedName name="latrange">Navigation!$J$42</definedName>
    <definedName name="LHA">Navigation!$H$39</definedName>
    <definedName name="noon1">Navigation!$I$20</definedName>
    <definedName name="noon2">Navigation!$I$24</definedName>
    <definedName name="noondat">Navigation!$C$18</definedName>
    <definedName name="ot">Navigation!$C$11</definedName>
    <definedName name="ot_">Navigation!$C$36</definedName>
    <definedName name="ref">Navigation!$O$37</definedName>
    <definedName name="Uhrzeit_UTC_h_min_s">Navigation!$C$36</definedName>
  </definedNames>
  <calcPr calcId="181029"/>
  <fileRecoveryPr autoRecover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U34" i="1" l="1"/>
  <c r="T34" i="1"/>
  <c r="S34" i="1"/>
  <c r="R34" i="1"/>
  <c r="Y7" i="1" l="1"/>
  <c r="AC7" i="1" l="1"/>
  <c r="D32" i="1"/>
  <c r="D31" i="1"/>
  <c r="D30" i="1"/>
  <c r="C18" i="1" l="1"/>
  <c r="I20" i="1"/>
  <c r="R21" i="1"/>
  <c r="I24" i="1"/>
  <c r="S21" i="1" l="1"/>
  <c r="C35" i="1" l="1"/>
  <c r="U21" i="1" s="1"/>
  <c r="X7" i="1"/>
  <c r="X8" i="1" s="1"/>
  <c r="X9" i="1" s="1"/>
  <c r="X10" i="1" s="1"/>
  <c r="X11" i="1" s="1"/>
  <c r="X12" i="1" s="1"/>
  <c r="X13" i="1" s="1"/>
  <c r="X14" i="1" s="1"/>
  <c r="X15" i="1" s="1"/>
  <c r="X16" i="1" s="1"/>
  <c r="X17" i="1" s="1"/>
  <c r="X18" i="1" s="1"/>
  <c r="X19" i="1" s="1"/>
  <c r="X20" i="1" s="1"/>
  <c r="X21" i="1" s="1"/>
  <c r="X22" i="1" s="1"/>
  <c r="X23" i="1" s="1"/>
  <c r="X24" i="1" s="1"/>
  <c r="X25" i="1" s="1"/>
  <c r="X26" i="1" s="1"/>
  <c r="X27" i="1" s="1"/>
  <c r="Y8" i="1" l="1"/>
  <c r="AC8" i="1" s="1"/>
  <c r="U10" i="1"/>
  <c r="S10" i="1"/>
  <c r="O22" i="1"/>
  <c r="U9" i="1" s="1"/>
  <c r="U7" i="1"/>
  <c r="U8" i="1" s="1"/>
  <c r="O20" i="1"/>
  <c r="S9" i="1" s="1"/>
  <c r="S7" i="1"/>
  <c r="S8" i="1" s="1"/>
  <c r="O30" i="1"/>
  <c r="O29" i="1"/>
  <c r="O28" i="1"/>
  <c r="R24" i="1" s="1"/>
  <c r="O27" i="1"/>
  <c r="U24" i="1" l="1"/>
  <c r="U25" i="1" s="1"/>
  <c r="U22" i="1"/>
  <c r="U23" i="1" s="1"/>
  <c r="Y9" i="1"/>
  <c r="AC9" i="1" s="1"/>
  <c r="U30" i="1"/>
  <c r="U31" i="1" s="1"/>
  <c r="R22" i="1"/>
  <c r="R23" i="1" s="1"/>
  <c r="U27" i="1"/>
  <c r="U11" i="1"/>
  <c r="U13" i="1" s="1"/>
  <c r="Z7" i="1" s="1"/>
  <c r="AA7" i="1" s="1"/>
  <c r="AB7" i="1" s="1"/>
  <c r="S11" i="1"/>
  <c r="R30" i="1"/>
  <c r="R31" i="1" s="1"/>
  <c r="R25" i="1"/>
  <c r="R27" i="1"/>
  <c r="U26" i="1" l="1"/>
  <c r="U28" i="1" s="1"/>
  <c r="U29" i="1" s="1"/>
  <c r="U35" i="1" s="1"/>
  <c r="Y10" i="1"/>
  <c r="AC10" i="1" s="1"/>
  <c r="R26" i="1"/>
  <c r="R28" i="1" s="1"/>
  <c r="R29" i="1" s="1"/>
  <c r="R35" i="1" s="1"/>
  <c r="S12" i="1"/>
  <c r="U12" i="1"/>
  <c r="S13" i="1"/>
  <c r="R37" i="1" l="1"/>
  <c r="Z8" i="1"/>
  <c r="Z10" i="1"/>
  <c r="Z9" i="1"/>
  <c r="R32" i="1"/>
  <c r="R33" i="1" s="1"/>
  <c r="Y11" i="1"/>
  <c r="AC11" i="1" s="1"/>
  <c r="U37" i="1"/>
  <c r="V12" i="1"/>
  <c r="T12" i="1"/>
  <c r="U32" i="1"/>
  <c r="U33" i="1" s="1"/>
  <c r="J13" i="1" l="1"/>
  <c r="I12" i="1" s="1"/>
  <c r="R36" i="1"/>
  <c r="Z11" i="1"/>
  <c r="AA11" i="1" s="1"/>
  <c r="AB11" i="1" s="1"/>
  <c r="Y12" i="1"/>
  <c r="Z12" i="1" s="1"/>
  <c r="AA9" i="1"/>
  <c r="AB9" i="1" s="1"/>
  <c r="AA10" i="1"/>
  <c r="AB10" i="1" s="1"/>
  <c r="AA8" i="1"/>
  <c r="AB8" i="1" s="1"/>
  <c r="U36" i="1"/>
  <c r="J12" i="1" l="1"/>
  <c r="Y13" i="1"/>
  <c r="Z13" i="1" s="1"/>
  <c r="AC12" i="1"/>
  <c r="AA12" i="1"/>
  <c r="AB12" i="1" s="1"/>
  <c r="AC13" i="1" l="1"/>
  <c r="AA13" i="1"/>
  <c r="AB13" i="1" s="1"/>
  <c r="Y14" i="1"/>
  <c r="Z14" i="1" s="1"/>
  <c r="Y15" i="1" l="1"/>
  <c r="Z15" i="1" s="1"/>
  <c r="AC14" i="1"/>
  <c r="AA14" i="1"/>
  <c r="AB14" i="1" s="1"/>
  <c r="S24" i="1" l="1"/>
  <c r="T21" i="1"/>
  <c r="T24" i="1" s="1"/>
  <c r="Y16" i="1"/>
  <c r="Z16" i="1" s="1"/>
  <c r="AA16" i="1" s="1"/>
  <c r="AA15" i="1"/>
  <c r="AB15" i="1" s="1"/>
  <c r="AC15" i="1"/>
  <c r="T22" i="1" l="1"/>
  <c r="T23" i="1" s="1"/>
  <c r="T27" i="1"/>
  <c r="T25" i="1"/>
  <c r="T30" i="1"/>
  <c r="T31" i="1" s="1"/>
  <c r="S30" i="1"/>
  <c r="S31" i="1" s="1"/>
  <c r="S25" i="1"/>
  <c r="S22" i="1"/>
  <c r="S23" i="1" s="1"/>
  <c r="S27" i="1"/>
  <c r="AC16" i="1"/>
  <c r="AB16" i="1"/>
  <c r="Y17" i="1"/>
  <c r="Z17" i="1" s="1"/>
  <c r="S26" i="1" l="1"/>
  <c r="S28" i="1" s="1"/>
  <c r="S29" i="1" s="1"/>
  <c r="S35" i="1" s="1"/>
  <c r="S37" i="1" s="1"/>
  <c r="T26" i="1"/>
  <c r="T28" i="1" s="1"/>
  <c r="T29" i="1" s="1"/>
  <c r="Y18" i="1"/>
  <c r="Z18" i="1" s="1"/>
  <c r="AA17" i="1"/>
  <c r="AB17" i="1" s="1"/>
  <c r="J39" i="1" s="1"/>
  <c r="H39" i="1" s="1"/>
  <c r="AC17" i="1"/>
  <c r="G6" i="1"/>
  <c r="I38" i="1" l="1"/>
  <c r="J38" i="1" s="1"/>
  <c r="K38" i="1"/>
  <c r="S32" i="1"/>
  <c r="T35" i="1"/>
  <c r="T37" i="1" s="1"/>
  <c r="T32" i="1"/>
  <c r="AC18" i="1"/>
  <c r="AA18" i="1"/>
  <c r="AB18" i="1" s="1"/>
  <c r="Y19" i="1"/>
  <c r="Z19" i="1" s="1"/>
  <c r="T33" i="1" l="1"/>
  <c r="S33" i="1"/>
  <c r="J22" i="1" s="1"/>
  <c r="AC19" i="1"/>
  <c r="AA19" i="1"/>
  <c r="AB19" i="1" s="1"/>
  <c r="Y20" i="1"/>
  <c r="Z20" i="1" s="1"/>
  <c r="J26" i="1" l="1"/>
  <c r="K25" i="1" s="1"/>
  <c r="I21" i="1"/>
  <c r="J21" i="1" s="1"/>
  <c r="K21" i="1"/>
  <c r="T36" i="1"/>
  <c r="S36" i="1"/>
  <c r="AC20" i="1"/>
  <c r="AA20" i="1"/>
  <c r="AB20" i="1" s="1"/>
  <c r="Y21" i="1"/>
  <c r="Z21" i="1" s="1"/>
  <c r="I25" i="1" l="1"/>
  <c r="J25" i="1" s="1"/>
  <c r="AC21" i="1"/>
  <c r="AA21" i="1"/>
  <c r="AB21" i="1" s="1"/>
  <c r="Y22" i="1"/>
  <c r="Z22" i="1" s="1"/>
  <c r="Y23" i="1" l="1"/>
  <c r="Z23" i="1" s="1"/>
  <c r="AC22" i="1"/>
  <c r="AA22" i="1"/>
  <c r="AB22" i="1" s="1"/>
  <c r="AC23" i="1" l="1"/>
  <c r="AA23" i="1"/>
  <c r="AB23" i="1" s="1"/>
  <c r="Y24" i="1"/>
  <c r="Z24" i="1" s="1"/>
  <c r="AC24" i="1" l="1"/>
  <c r="AA24" i="1"/>
  <c r="AB24" i="1" s="1"/>
  <c r="Y25" i="1"/>
  <c r="Z25" i="1" s="1"/>
  <c r="AC25" i="1" l="1"/>
  <c r="AA25" i="1"/>
  <c r="AB25" i="1" s="1"/>
  <c r="Y27" i="1"/>
  <c r="Z27" i="1" s="1"/>
  <c r="Y26" i="1"/>
  <c r="Z26" i="1" s="1"/>
  <c r="AC26" i="1" l="1"/>
  <c r="AA26" i="1"/>
  <c r="AB26" i="1" s="1"/>
  <c r="AC27" i="1"/>
  <c r="AA27" i="1"/>
  <c r="AB27" i="1" s="1"/>
  <c r="K12" i="1" l="1"/>
</calcChain>
</file>

<file path=xl/sharedStrings.xml><?xml version="1.0" encoding="utf-8"?>
<sst xmlns="http://schemas.openxmlformats.org/spreadsheetml/2006/main" count="102" uniqueCount="84">
  <si>
    <t>N</t>
  </si>
  <si>
    <t>Monat</t>
  </si>
  <si>
    <t>MB</t>
  </si>
  <si>
    <t>m</t>
  </si>
  <si>
    <t xml:space="preserve">Schiffsmittag: </t>
  </si>
  <si>
    <t>E</t>
  </si>
  <si>
    <t>Mittagsbreite</t>
  </si>
  <si>
    <t>Datum TT.MM.JJ:</t>
  </si>
  <si>
    <t>gegisste Standortbreite:</t>
  </si>
  <si>
    <t>Basic SUN Navigator</t>
  </si>
  <si>
    <t xml:space="preserve">Teleskophöhe über dem Wellenkamm : </t>
  </si>
  <si>
    <t xml:space="preserve">Sonnenrand U/ O : </t>
  </si>
  <si>
    <t>U</t>
  </si>
  <si>
    <t>Sextantenablesung / Peilung :</t>
  </si>
  <si>
    <t xml:space="preserve">Mittagslänge: </t>
  </si>
  <si>
    <t>Beschickung Sextantenablesung</t>
  </si>
  <si>
    <t>Zusatzbeschickung</t>
  </si>
  <si>
    <t>COP 1</t>
  </si>
  <si>
    <t>COP 2</t>
  </si>
  <si>
    <t>UR</t>
  </si>
  <si>
    <t>Sextantenablesung :</t>
  </si>
  <si>
    <t>Gesamtbeschickung :</t>
  </si>
  <si>
    <t>Zusatzbeschickung :</t>
  </si>
  <si>
    <t>Indexberichtigung :</t>
  </si>
  <si>
    <t>beobachtete Höhe:</t>
  </si>
  <si>
    <t>Grad Minuten :</t>
  </si>
  <si>
    <t>Bogenmaß :</t>
  </si>
  <si>
    <t>h</t>
  </si>
  <si>
    <t>h_</t>
  </si>
  <si>
    <t>Bahnparameter</t>
  </si>
  <si>
    <t>Ephemeridenrechnung</t>
  </si>
  <si>
    <t>Symbol</t>
  </si>
  <si>
    <t>Parameter</t>
  </si>
  <si>
    <t xml:space="preserve">_A1 = </t>
  </si>
  <si>
    <t xml:space="preserve">T = </t>
  </si>
  <si>
    <t xml:space="preserve">_A2 = </t>
  </si>
  <si>
    <t xml:space="preserve">L = </t>
  </si>
  <si>
    <t>gewählt:</t>
  </si>
  <si>
    <t xml:space="preserve">_A3 = </t>
  </si>
  <si>
    <r>
      <t>L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</si>
  <si>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_A4 = </t>
  </si>
  <si>
    <t xml:space="preserve">𝜛 = </t>
  </si>
  <si>
    <r>
      <t>𝜛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</si>
  <si>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_B1 = </t>
  </si>
  <si>
    <t>M =</t>
  </si>
  <si>
    <t xml:space="preserve">_B2 = </t>
  </si>
  <si>
    <t xml:space="preserve">e = </t>
  </si>
  <si>
    <t xml:space="preserve">_B3 = </t>
  </si>
  <si>
    <t xml:space="preserve">C = </t>
  </si>
  <si>
    <t xml:space="preserve">_B4 = </t>
  </si>
  <si>
    <t xml:space="preserve">Dat ref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</si>
  <si>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</si>
  <si>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r>
      <t>g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</si>
  <si>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Grt0 = </t>
  </si>
  <si>
    <t xml:space="preserve">Grt = </t>
  </si>
  <si>
    <t xml:space="preserve">d = </t>
  </si>
  <si>
    <t xml:space="preserve">Grt° = </t>
  </si>
  <si>
    <t xml:space="preserve">d° = </t>
  </si>
  <si>
    <t xml:space="preserve">Indexberichtigung: </t>
  </si>
  <si>
    <t>j</t>
  </si>
  <si>
    <t>t</t>
  </si>
  <si>
    <t>l*</t>
  </si>
  <si>
    <t>l°</t>
  </si>
  <si>
    <t>j°</t>
  </si>
  <si>
    <r>
      <t>Dj</t>
    </r>
    <r>
      <rPr>
        <sz val="11"/>
        <color theme="1"/>
        <rFont val="Calibri (Textkörper)"/>
      </rPr>
      <t>'</t>
    </r>
  </si>
  <si>
    <t>Diagramm</t>
  </si>
  <si>
    <t>S</t>
  </si>
  <si>
    <t>Sextantenablesung bei Kulmination:</t>
  </si>
  <si>
    <t xml:space="preserve">Mittagsbreite: </t>
  </si>
  <si>
    <t>Chronometerlänge</t>
  </si>
  <si>
    <t>Mittagslänge</t>
  </si>
  <si>
    <t xml:space="preserve">vormittags: </t>
  </si>
  <si>
    <t xml:space="preserve">nachmittags: </t>
  </si>
  <si>
    <t>Kimmabstand gemessen:</t>
  </si>
  <si>
    <t>Sumnerlinie</t>
  </si>
  <si>
    <t xml:space="preserve">Chronometerlänge: </t>
  </si>
  <si>
    <t>LHA=</t>
  </si>
  <si>
    <t xml:space="preserve">gegisste Breite ± : </t>
  </si>
  <si>
    <t>CL</t>
  </si>
  <si>
    <t>ML1</t>
  </si>
  <si>
    <t>ML2</t>
  </si>
  <si>
    <t xml:space="preserve">Beobachtungszeit  hh:mm:ss UTC: </t>
  </si>
  <si>
    <t xml:space="preserve">Peilung: </t>
  </si>
  <si>
    <t>Passwort: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</si>
</sst>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164" formatCode="[$-407]d/\ mmm/;@"/>
    <numFmt numFmtId="165" formatCode="0.0000"/>
    <numFmt numFmtId="166" formatCode="00.00"/>
    <numFmt numFmtId="167" formatCode="[$-407]d/\ mmm/\ yyyy;@"/>
    <numFmt numFmtId="168" formatCode="h:mm;@"/>
    <numFmt numFmtId="169" formatCode="[$-F400]h:mm:ss\ AM/PM"/>
    <numFmt numFmtId="170" formatCode="0.000"/>
    <numFmt numFmtId="171" formatCode="h:mm:ss;@"/>
    <numFmt numFmtId="172" formatCode="0.00000"/>
    <numFmt numFmtId="173" formatCode="0.00\°"/>
    <numFmt numFmtId="174" formatCode="0.00\'"/>
    <numFmt numFmtId="175" formatCode="000\°"/>
    <numFmt numFmtId="176" formatCode="0\°"/>
    <numFmt numFmtId="177" formatCode="0.0\'"/>
    <numFmt numFmtId="178" formatCode="0.000000"/>
    <numFmt numFmtId="179" formatCode="0.000\°"/>
    <numFmt numFmtId="180" formatCode="0.0000E+00"/>
    <numFmt numFmtId="181" formatCode="d/m/yyyy;@"/>
    <numFmt numFmtId="182" formatCode="0.00\°;[Red]0.00\°"/>
    <numFmt numFmtId="183" formatCode="0.000\°;[Red]0.000\°"/>
    <numFmt numFmtId="184" formatCode="0\'"/>
    <numFmt numFmtId="185" formatCode="0.0"/>
  </numFmts>
  <fonts count="4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Helvetica Neue"/>
      <family val="2"/>
    </font>
    <font>
      <sz val="11"/>
      <name val="Helvetica Neue"/>
      <family val="2"/>
    </font>
    <font>
      <sz val="12"/>
      <color theme="1"/>
      <name val="Helvetica Neue"/>
      <family val="2"/>
    </font>
    <font>
      <b/>
      <sz val="11"/>
      <color theme="1"/>
      <name val="Helvetica Neue"/>
      <family val="2"/>
    </font>
    <font>
      <b/>
      <sz val="12"/>
      <color theme="1"/>
      <name val="Helvetica Neue"/>
      <family val="2"/>
    </font>
    <font>
      <sz val="11"/>
      <color rgb="FFC00000"/>
      <name val="Helvetica Neue"/>
      <family val="2"/>
    </font>
    <font>
      <sz val="12"/>
      <name val="Helvetica Neue"/>
      <family val="2"/>
    </font>
    <font>
      <b/>
      <sz val="20"/>
      <color rgb="FFC00000"/>
      <name val="Lucida Calligraphy Italic"/>
    </font>
    <font>
      <b/>
      <sz val="14"/>
      <color rgb="FFC00000"/>
      <name val="Lucida Calligraphy Italic"/>
    </font>
    <font>
      <sz val="12"/>
      <color theme="1"/>
      <name val="Symbol"/>
      <charset val="2"/>
    </font>
    <font>
      <sz val="16"/>
      <name val="Arial"/>
      <family val="2"/>
    </font>
    <font>
      <sz val="14"/>
      <color rgb="FFC00000"/>
      <name val="Helvetica Neue"/>
      <family val="2"/>
    </font>
    <font>
      <sz val="11"/>
      <color theme="1"/>
      <name val="Symbol"/>
      <charset val="2"/>
    </font>
    <font>
      <sz val="11"/>
      <color theme="0"/>
      <name val="Helvetica Neue"/>
      <family val="2"/>
    </font>
    <font>
      <sz val="14"/>
      <color theme="1"/>
      <name val="Helvetica Neue"/>
      <family val="2"/>
    </font>
    <font>
      <sz val="10"/>
      <color theme="1"/>
      <name val="Helvetica Neue"/>
      <family val="2"/>
    </font>
    <font>
      <sz val="8"/>
      <color theme="1"/>
      <name val="Calibri (Textkörper)_x0000_"/>
    </font>
    <font>
      <sz val="8"/>
      <color theme="1"/>
      <name val="Calibri (Textkörper)"/>
    </font>
    <font>
      <sz val="10"/>
      <color theme="1"/>
      <name val="Symbol"/>
      <charset val="2"/>
    </font>
    <font>
      <sz val="12"/>
      <color theme="0"/>
      <name val="Calibri"/>
      <family val="2"/>
      <scheme val="minor"/>
    </font>
    <font>
      <sz val="11"/>
      <color theme="1"/>
      <name val="Calibri (Textkörper)"/>
    </font>
    <font>
      <b/>
      <sz val="16"/>
      <color theme="1"/>
      <name val="Helvetica Neue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theme="0"/>
      <name val="Arial"/>
      <family val="2"/>
    </font>
    <font>
      <sz val="14"/>
      <color theme="1"/>
      <name val="Arial"/>
      <family val="2"/>
    </font>
    <font>
      <sz val="14"/>
      <name val="Helvetica Neue"/>
      <family val="2"/>
    </font>
    <font>
      <sz val="11"/>
      <color theme="0"/>
      <name val="Calibri"/>
      <family val="2"/>
      <scheme val="minor"/>
    </font>
    <font>
      <sz val="12"/>
      <color theme="0"/>
      <name val="Arial"/>
      <family val="2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EDB"/>
        <bgColor indexed="64"/>
      </patternFill>
    </fill>
    <fill>
      <patternFill patternType="solid">
        <fgColor theme="2"/>
        <bgColor indexed="64"/>
      </patternFill>
    </fill>
  </fills>
  <borders count="93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auto="1"/>
      </right>
      <top style="thin">
        <color rgb="FFC00000"/>
      </top>
      <bottom style="thin">
        <color rgb="FFC00000"/>
      </bottom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/>
      <bottom style="hair">
        <color rgb="FFFFC000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/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/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hair">
        <color rgb="FFC00000"/>
      </bottom>
      <diagonal/>
    </border>
    <border>
      <left/>
      <right style="medium">
        <color rgb="FFC00000"/>
      </right>
      <top style="medium">
        <color rgb="FFC00000"/>
      </top>
      <bottom style="hair">
        <color rgb="FFC00000"/>
      </bottom>
      <diagonal/>
    </border>
    <border>
      <left/>
      <right style="medium">
        <color rgb="FFC00000"/>
      </right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medium">
        <color rgb="FFC00000"/>
      </bottom>
      <diagonal/>
    </border>
    <border>
      <left/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 style="thick">
        <color rgb="FFC00000"/>
      </left>
      <right/>
      <top style="medium">
        <color rgb="FFC00000"/>
      </top>
      <bottom style="medium">
        <color rgb="FFC00000"/>
      </bottom>
      <diagonal/>
    </border>
    <border>
      <left style="thick">
        <color rgb="FFC00000"/>
      </left>
      <right/>
      <top style="medium">
        <color rgb="FFC00000"/>
      </top>
      <bottom style="hair">
        <color rgb="FFC00000"/>
      </bottom>
      <diagonal/>
    </border>
    <border>
      <left style="thick">
        <color rgb="FFC00000"/>
      </left>
      <right/>
      <top style="hair">
        <color rgb="FFC00000"/>
      </top>
      <bottom style="medium">
        <color rgb="FFC00000"/>
      </bottom>
      <diagonal/>
    </border>
    <border>
      <left style="thin">
        <color rgb="FFC00000"/>
      </left>
      <right/>
      <top style="medium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medium">
        <color rgb="FFC00000"/>
      </bottom>
      <diagonal/>
    </border>
    <border>
      <left/>
      <right/>
      <top/>
      <bottom style="double">
        <color rgb="FFC00000"/>
      </bottom>
      <diagonal/>
    </border>
  </borders>
  <cellStyleXfs count="1">
    <xf numFmtId="0" fontId="0" fillId="0" borderId="0"/>
  </cellStyleXfs>
  <cellXfs count="265">
    <xf numFmtId="0" fontId="0" fillId="0" borderId="0" xfId="0"/>
    <xf numFmtId="0" fontId="6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7" fillId="0" borderId="0" xfId="0" applyNumberFormat="1" applyFont="1" applyBorder="1" applyProtection="1">
      <protection hidden="1"/>
    </xf>
    <xf numFmtId="0" fontId="7" fillId="0" borderId="0" xfId="0" applyFont="1" applyBorder="1" applyProtection="1">
      <protection hidden="1"/>
    </xf>
    <xf numFmtId="2" fontId="7" fillId="0" borderId="0" xfId="0" applyNumberFormat="1" applyFont="1" applyProtection="1">
      <protection hidden="1"/>
    </xf>
    <xf numFmtId="0" fontId="6" fillId="0" borderId="0" xfId="0" applyFont="1" applyBorder="1" applyProtection="1">
      <protection hidden="1"/>
    </xf>
    <xf numFmtId="2" fontId="7" fillId="0" borderId="0" xfId="0" applyNumberFormat="1" applyFont="1" applyBorder="1" applyProtection="1">
      <protection hidden="1"/>
    </xf>
    <xf numFmtId="14" fontId="7" fillId="0" borderId="0" xfId="0" applyNumberFormat="1" applyFont="1" applyProtection="1">
      <protection hidden="1"/>
    </xf>
    <xf numFmtId="0" fontId="1" fillId="0" borderId="0" xfId="0" applyFont="1" applyFill="1" applyBorder="1" applyAlignment="1" applyProtection="1">
      <protection hidden="1"/>
    </xf>
    <xf numFmtId="0" fontId="2" fillId="0" borderId="0" xfId="0" applyFont="1" applyFill="1" applyBorder="1" applyAlignment="1" applyProtection="1">
      <protection hidden="1"/>
    </xf>
    <xf numFmtId="168" fontId="3" fillId="0" borderId="0" xfId="0" applyNumberFormat="1" applyFont="1" applyFill="1" applyBorder="1" applyAlignment="1" applyProtection="1">
      <alignment horizontal="left"/>
      <protection hidden="1"/>
    </xf>
    <xf numFmtId="0" fontId="5" fillId="0" borderId="0" xfId="0" applyFont="1" applyFill="1" applyBorder="1" applyProtection="1">
      <protection hidden="1"/>
    </xf>
    <xf numFmtId="0" fontId="10" fillId="0" borderId="0" xfId="0" applyFont="1" applyFill="1" applyBorder="1" applyProtection="1">
      <protection hidden="1"/>
    </xf>
    <xf numFmtId="0" fontId="7" fillId="0" borderId="0" xfId="0" applyFont="1" applyFill="1" applyBorder="1" applyProtection="1">
      <protection hidden="1"/>
    </xf>
    <xf numFmtId="0" fontId="8" fillId="0" borderId="0" xfId="0" applyFont="1" applyFill="1" applyBorder="1" applyAlignment="1" applyProtection="1">
      <protection hidden="1"/>
    </xf>
    <xf numFmtId="0" fontId="11" fillId="0" borderId="0" xfId="0" applyFont="1" applyFill="1" applyBorder="1" applyProtection="1">
      <protection hidden="1"/>
    </xf>
    <xf numFmtId="0" fontId="9" fillId="0" borderId="0" xfId="0" applyFont="1" applyFill="1" applyBorder="1" applyAlignment="1" applyProtection="1">
      <alignment vertical="center"/>
      <protection hidden="1"/>
    </xf>
    <xf numFmtId="0" fontId="6" fillId="0" borderId="0" xfId="0" applyFont="1" applyFill="1" applyBorder="1" applyProtection="1">
      <protection hidden="1"/>
    </xf>
    <xf numFmtId="0" fontId="16" fillId="0" borderId="0" xfId="0" applyFont="1" applyFill="1" applyBorder="1" applyProtection="1">
      <protection hidden="1"/>
    </xf>
    <xf numFmtId="0" fontId="12" fillId="0" borderId="2" xfId="0" applyFont="1" applyFill="1" applyBorder="1" applyAlignment="1" applyProtection="1">
      <alignment horizontal="right" vertical="center"/>
      <protection hidden="1"/>
    </xf>
    <xf numFmtId="0" fontId="11" fillId="0" borderId="0" xfId="0" applyFont="1" applyFill="1" applyBorder="1" applyAlignment="1" applyProtection="1">
      <alignment horizontal="right" vertical="center"/>
      <protection hidden="1"/>
    </xf>
    <xf numFmtId="0" fontId="11" fillId="0" borderId="0" xfId="0" applyFont="1" applyFill="1" applyBorder="1" applyAlignment="1" applyProtection="1">
      <alignment vertical="center"/>
      <protection hidden="1"/>
    </xf>
    <xf numFmtId="0" fontId="19" fillId="0" borderId="0" xfId="0" applyFont="1" applyFill="1" applyBorder="1" applyAlignment="1" applyProtection="1">
      <alignment vertical="center"/>
      <protection hidden="1"/>
    </xf>
    <xf numFmtId="0" fontId="11" fillId="0" borderId="2" xfId="0" applyFont="1" applyFill="1" applyBorder="1" applyAlignment="1" applyProtection="1">
      <alignment horizontal="right" vertical="center"/>
      <protection hidden="1"/>
    </xf>
    <xf numFmtId="0" fontId="11" fillId="0" borderId="0" xfId="0" applyNumberFormat="1" applyFont="1" applyFill="1" applyBorder="1" applyAlignment="1" applyProtection="1">
      <alignment vertical="center"/>
      <protection hidden="1"/>
    </xf>
    <xf numFmtId="0" fontId="6" fillId="0" borderId="0" xfId="0" applyNumberFormat="1" applyFont="1" applyProtection="1">
      <protection hidden="1"/>
    </xf>
    <xf numFmtId="0" fontId="6" fillId="0" borderId="0" xfId="0" applyNumberFormat="1" applyFont="1" applyFill="1" applyBorder="1" applyProtection="1">
      <protection hidden="1"/>
    </xf>
    <xf numFmtId="2" fontId="6" fillId="0" borderId="0" xfId="0" applyNumberFormat="1" applyFont="1" applyProtection="1">
      <protection hidden="1"/>
    </xf>
    <xf numFmtId="2" fontId="1" fillId="0" borderId="0" xfId="0" applyNumberFormat="1" applyFont="1" applyProtection="1">
      <protection hidden="1"/>
    </xf>
    <xf numFmtId="2" fontId="7" fillId="0" borderId="0" xfId="0" applyNumberFormat="1" applyFont="1" applyAlignment="1" applyProtection="1">
      <protection hidden="1"/>
    </xf>
    <xf numFmtId="2" fontId="6" fillId="0" borderId="0" xfId="0" applyNumberFormat="1" applyFont="1" applyBorder="1" applyAlignment="1" applyProtection="1">
      <alignment horizontal="right"/>
      <protection hidden="1"/>
    </xf>
    <xf numFmtId="2" fontId="6" fillId="0" borderId="0" xfId="0" applyNumberFormat="1" applyFont="1" applyBorder="1" applyProtection="1">
      <protection hidden="1"/>
    </xf>
    <xf numFmtId="2" fontId="7" fillId="0" borderId="0" xfId="0" applyNumberFormat="1" applyFont="1" applyBorder="1" applyAlignment="1" applyProtection="1">
      <alignment horizontal="center"/>
      <protection hidden="1"/>
    </xf>
    <xf numFmtId="2" fontId="7" fillId="0" borderId="0" xfId="0" applyNumberFormat="1" applyFont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18" fillId="0" borderId="0" xfId="0" applyFont="1" applyFill="1" applyBorder="1" applyAlignment="1" applyProtection="1">
      <protection hidden="1"/>
    </xf>
    <xf numFmtId="0" fontId="16" fillId="0" borderId="0" xfId="0" applyFont="1" applyFill="1" applyBorder="1" applyAlignment="1" applyProtection="1">
      <alignment horizontal="right"/>
      <protection hidden="1"/>
    </xf>
    <xf numFmtId="171" fontId="16" fillId="0" borderId="0" xfId="0" applyNumberFormat="1" applyFont="1" applyFill="1" applyBorder="1" applyAlignment="1" applyProtection="1">
      <alignment horizontal="center"/>
      <protection hidden="1"/>
    </xf>
    <xf numFmtId="0" fontId="16" fillId="0" borderId="0" xfId="0" applyFont="1" applyFill="1" applyBorder="1" applyAlignment="1" applyProtection="1">
      <alignment vertical="center"/>
      <protection hidden="1"/>
    </xf>
    <xf numFmtId="0" fontId="6" fillId="0" borderId="0" xfId="0" applyFont="1" applyAlignment="1" applyProtection="1">
      <alignment vertical="center"/>
      <protection hidden="1"/>
    </xf>
    <xf numFmtId="2" fontId="13" fillId="3" borderId="6" xfId="0" applyNumberFormat="1" applyFont="1" applyFill="1" applyBorder="1" applyAlignment="1" applyProtection="1">
      <alignment horizontal="center" vertical="center"/>
      <protection locked="0"/>
    </xf>
    <xf numFmtId="0" fontId="15" fillId="2" borderId="2" xfId="0" applyFont="1" applyFill="1" applyBorder="1" applyAlignment="1" applyProtection="1">
      <alignment horizontal="center" vertical="center"/>
      <protection locked="0"/>
    </xf>
    <xf numFmtId="21" fontId="22" fillId="0" borderId="0" xfId="0" applyNumberFormat="1" applyFont="1" applyProtection="1">
      <protection hidden="1"/>
    </xf>
    <xf numFmtId="2" fontId="13" fillId="0" borderId="0" xfId="0" applyNumberFormat="1" applyFont="1" applyAlignment="1" applyProtection="1">
      <alignment horizontal="right" vertical="center"/>
      <protection hidden="1"/>
    </xf>
    <xf numFmtId="173" fontId="13" fillId="0" borderId="0" xfId="0" applyNumberFormat="1" applyFont="1" applyAlignment="1" applyProtection="1">
      <alignment vertical="center"/>
      <protection hidden="1"/>
    </xf>
    <xf numFmtId="175" fontId="13" fillId="0" borderId="0" xfId="0" applyNumberFormat="1" applyFont="1" applyAlignment="1" applyProtection="1">
      <alignment vertical="center"/>
      <protection hidden="1"/>
    </xf>
    <xf numFmtId="2" fontId="13" fillId="0" borderId="0" xfId="0" applyNumberFormat="1" applyFont="1" applyAlignment="1" applyProtection="1">
      <alignment vertical="center"/>
      <protection hidden="1"/>
    </xf>
    <xf numFmtId="176" fontId="13" fillId="0" borderId="0" xfId="0" applyNumberFormat="1" applyFont="1" applyAlignment="1" applyProtection="1">
      <alignment vertical="center"/>
      <protection hidden="1"/>
    </xf>
    <xf numFmtId="171" fontId="4" fillId="0" borderId="0" xfId="0" applyNumberFormat="1" applyFont="1" applyFill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0" fillId="0" borderId="0" xfId="0" applyNumberFormat="1" applyFont="1" applyBorder="1" applyAlignment="1" applyProtection="1">
      <protection hidden="1"/>
    </xf>
    <xf numFmtId="21" fontId="6" fillId="0" borderId="0" xfId="0" applyNumberFormat="1" applyFont="1" applyProtection="1">
      <protection hidden="1"/>
    </xf>
    <xf numFmtId="165" fontId="5" fillId="0" borderId="0" xfId="0" applyNumberFormat="1" applyFont="1" applyFill="1" applyBorder="1" applyProtection="1">
      <protection hidden="1"/>
    </xf>
    <xf numFmtId="0" fontId="0" fillId="0" borderId="0" xfId="0" applyFont="1" applyFill="1" applyBorder="1" applyAlignment="1" applyProtection="1">
      <alignment vertical="center"/>
      <protection hidden="1"/>
    </xf>
    <xf numFmtId="170" fontId="5" fillId="0" borderId="0" xfId="0" applyNumberFormat="1" applyFont="1" applyFill="1" applyBorder="1" applyProtection="1">
      <protection hidden="1"/>
    </xf>
    <xf numFmtId="174" fontId="13" fillId="0" borderId="0" xfId="0" applyNumberFormat="1" applyFont="1" applyAlignment="1" applyProtection="1">
      <alignment horizontal="center" vertical="center"/>
      <protection hidden="1"/>
    </xf>
    <xf numFmtId="0" fontId="11" fillId="0" borderId="3" xfId="0" applyFont="1" applyFill="1" applyBorder="1" applyAlignment="1" applyProtection="1">
      <alignment horizontal="right" vertical="center"/>
      <protection hidden="1"/>
    </xf>
    <xf numFmtId="0" fontId="25" fillId="0" borderId="0" xfId="0" applyFont="1" applyAlignment="1" applyProtection="1">
      <alignment vertical="center"/>
      <protection hidden="1"/>
    </xf>
    <xf numFmtId="0" fontId="26" fillId="0" borderId="0" xfId="0" applyFont="1" applyAlignment="1" applyProtection="1">
      <alignment vertical="center"/>
      <protection hidden="1"/>
    </xf>
    <xf numFmtId="164" fontId="25" fillId="0" borderId="0" xfId="0" applyNumberFormat="1" applyFont="1" applyBorder="1" applyAlignment="1" applyProtection="1">
      <alignment horizontal="left" vertical="center"/>
      <protection hidden="1"/>
    </xf>
    <xf numFmtId="1" fontId="26" fillId="0" borderId="0" xfId="0" applyNumberFormat="1" applyFont="1" applyBorder="1" applyAlignment="1" applyProtection="1">
      <alignment horizontal="center" vertical="center"/>
      <protection hidden="1"/>
    </xf>
    <xf numFmtId="0" fontId="26" fillId="0" borderId="9" xfId="0" applyFont="1" applyBorder="1" applyProtection="1">
      <protection hidden="1"/>
    </xf>
    <xf numFmtId="0" fontId="13" fillId="0" borderId="10" xfId="0" applyFont="1" applyBorder="1" applyProtection="1">
      <protection hidden="1"/>
    </xf>
    <xf numFmtId="0" fontId="13" fillId="0" borderId="11" xfId="0" applyFont="1" applyBorder="1" applyAlignment="1" applyProtection="1">
      <alignment horizontal="center" vertical="center"/>
      <protection hidden="1"/>
    </xf>
    <xf numFmtId="0" fontId="13" fillId="0" borderId="10" xfId="0" applyFont="1" applyBorder="1" applyAlignment="1" applyProtection="1">
      <alignment horizontal="center" vertical="center"/>
      <protection hidden="1"/>
    </xf>
    <xf numFmtId="0" fontId="26" fillId="0" borderId="0" xfId="0" applyFont="1" applyProtection="1">
      <protection hidden="1"/>
    </xf>
    <xf numFmtId="0" fontId="26" fillId="0" borderId="14" xfId="0" applyFont="1" applyBorder="1" applyAlignment="1" applyProtection="1">
      <alignment vertical="center"/>
      <protection hidden="1"/>
    </xf>
    <xf numFmtId="0" fontId="13" fillId="0" borderId="15" xfId="0" applyFont="1" applyBorder="1" applyAlignment="1" applyProtection="1">
      <alignment horizontal="right" vertical="center"/>
      <protection hidden="1"/>
    </xf>
    <xf numFmtId="173" fontId="13" fillId="0" borderId="16" xfId="0" applyNumberFormat="1" applyFont="1" applyBorder="1" applyAlignment="1" applyProtection="1">
      <alignment horizontal="right" vertical="center"/>
      <protection hidden="1"/>
    </xf>
    <xf numFmtId="0" fontId="13" fillId="0" borderId="15" xfId="0" applyFont="1" applyBorder="1" applyAlignment="1" applyProtection="1">
      <alignment vertical="center"/>
      <protection hidden="1"/>
    </xf>
    <xf numFmtId="0" fontId="26" fillId="0" borderId="19" xfId="0" applyFont="1" applyBorder="1" applyAlignment="1" applyProtection="1">
      <alignment vertical="center"/>
      <protection hidden="1"/>
    </xf>
    <xf numFmtId="0" fontId="13" fillId="0" borderId="20" xfId="0" applyFont="1" applyBorder="1" applyAlignment="1" applyProtection="1">
      <alignment horizontal="right" vertical="center"/>
      <protection hidden="1"/>
    </xf>
    <xf numFmtId="174" fontId="13" fillId="0" borderId="21" xfId="0" applyNumberFormat="1" applyFont="1" applyBorder="1" applyAlignment="1" applyProtection="1">
      <alignment horizontal="right" vertical="center"/>
      <protection hidden="1"/>
    </xf>
    <xf numFmtId="0" fontId="26" fillId="0" borderId="20" xfId="0" applyFont="1" applyBorder="1" applyAlignment="1" applyProtection="1">
      <alignment vertical="center"/>
      <protection hidden="1"/>
    </xf>
    <xf numFmtId="177" fontId="13" fillId="0" borderId="21" xfId="0" applyNumberFormat="1" applyFont="1" applyBorder="1" applyAlignment="1" applyProtection="1">
      <alignment horizontal="right" vertical="center"/>
      <protection hidden="1"/>
    </xf>
    <xf numFmtId="2" fontId="13" fillId="0" borderId="21" xfId="0" applyNumberFormat="1" applyFont="1" applyBorder="1" applyAlignment="1" applyProtection="1">
      <alignment horizontal="right" vertical="center"/>
      <protection hidden="1"/>
    </xf>
    <xf numFmtId="0" fontId="13" fillId="0" borderId="20" xfId="0" applyFont="1" applyBorder="1" applyAlignment="1" applyProtection="1">
      <alignment horizontal="left" vertical="center"/>
      <protection hidden="1"/>
    </xf>
    <xf numFmtId="176" fontId="13" fillId="0" borderId="21" xfId="0" applyNumberFormat="1" applyFont="1" applyBorder="1" applyAlignment="1" applyProtection="1">
      <alignment horizontal="right" vertical="center"/>
      <protection hidden="1"/>
    </xf>
    <xf numFmtId="174" fontId="13" fillId="0" borderId="20" xfId="0" applyNumberFormat="1" applyFont="1" applyBorder="1" applyAlignment="1" applyProtection="1">
      <alignment horizontal="left" vertical="center"/>
      <protection hidden="1"/>
    </xf>
    <xf numFmtId="0" fontId="26" fillId="0" borderId="24" xfId="0" applyFont="1" applyBorder="1" applyAlignment="1" applyProtection="1">
      <alignment vertical="center"/>
      <protection hidden="1"/>
    </xf>
    <xf numFmtId="0" fontId="13" fillId="0" borderId="25" xfId="0" applyFont="1" applyBorder="1" applyAlignment="1" applyProtection="1">
      <alignment horizontal="right" vertical="center"/>
      <protection hidden="1"/>
    </xf>
    <xf numFmtId="172" fontId="15" fillId="0" borderId="26" xfId="0" applyNumberFormat="1" applyFont="1" applyBorder="1" applyAlignment="1" applyProtection="1">
      <alignment horizontal="right" vertical="center"/>
      <protection hidden="1"/>
    </xf>
    <xf numFmtId="0" fontId="13" fillId="0" borderId="25" xfId="0" applyFont="1" applyBorder="1" applyAlignment="1" applyProtection="1">
      <alignment horizontal="left" vertical="center"/>
      <protection hidden="1"/>
    </xf>
    <xf numFmtId="2" fontId="13" fillId="0" borderId="0" xfId="0" applyNumberFormat="1" applyFont="1" applyProtection="1">
      <protection hidden="1"/>
    </xf>
    <xf numFmtId="0" fontId="13" fillId="0" borderId="0" xfId="0" applyFont="1" applyProtection="1">
      <protection hidden="1"/>
    </xf>
    <xf numFmtId="2" fontId="26" fillId="0" borderId="0" xfId="0" applyNumberFormat="1" applyFont="1" applyProtection="1">
      <protection hidden="1"/>
    </xf>
    <xf numFmtId="0" fontId="25" fillId="0" borderId="0" xfId="0" applyFont="1" applyAlignment="1" applyProtection="1">
      <alignment vertical="top"/>
      <protection hidden="1"/>
    </xf>
    <xf numFmtId="0" fontId="25" fillId="0" borderId="0" xfId="0" applyFont="1" applyFill="1" applyProtection="1">
      <protection hidden="1"/>
    </xf>
    <xf numFmtId="0" fontId="0" fillId="0" borderId="34" xfId="0" applyFont="1" applyBorder="1" applyAlignment="1" applyProtection="1">
      <alignment horizontal="right"/>
      <protection hidden="1"/>
    </xf>
    <xf numFmtId="170" fontId="11" fillId="0" borderId="35" xfId="0" applyNumberFormat="1" applyFont="1" applyBorder="1" applyAlignment="1" applyProtection="1">
      <alignment horizontal="right"/>
      <protection hidden="1"/>
    </xf>
    <xf numFmtId="170" fontId="11" fillId="0" borderId="36" xfId="0" applyNumberFormat="1" applyFont="1" applyBorder="1" applyAlignment="1" applyProtection="1">
      <alignment horizontal="right"/>
      <protection hidden="1"/>
    </xf>
    <xf numFmtId="0" fontId="13" fillId="0" borderId="45" xfId="0" applyFont="1" applyBorder="1" applyAlignment="1" applyProtection="1">
      <alignment horizontal="center"/>
      <protection hidden="1"/>
    </xf>
    <xf numFmtId="0" fontId="13" fillId="0" borderId="47" xfId="0" applyFont="1" applyBorder="1" applyAlignment="1" applyProtection="1">
      <alignment horizontal="center"/>
      <protection hidden="1"/>
    </xf>
    <xf numFmtId="0" fontId="11" fillId="0" borderId="39" xfId="0" applyFont="1" applyBorder="1" applyAlignment="1" applyProtection="1">
      <alignment horizontal="right" vertical="center"/>
      <protection hidden="1"/>
    </xf>
    <xf numFmtId="0" fontId="11" fillId="0" borderId="40" xfId="0" applyFont="1" applyBorder="1" applyAlignment="1" applyProtection="1">
      <alignment horizontal="right"/>
      <protection hidden="1"/>
    </xf>
    <xf numFmtId="0" fontId="11" fillId="0" borderId="39" xfId="0" applyFont="1" applyBorder="1" applyAlignment="1" applyProtection="1">
      <alignment horizontal="center"/>
      <protection hidden="1"/>
    </xf>
    <xf numFmtId="0" fontId="11" fillId="0" borderId="40" xfId="0" applyFont="1" applyBorder="1" applyAlignment="1" applyProtection="1">
      <alignment horizontal="center"/>
      <protection hidden="1"/>
    </xf>
    <xf numFmtId="165" fontId="14" fillId="0" borderId="36" xfId="0" applyNumberFormat="1" applyFont="1" applyBorder="1" applyAlignment="1" applyProtection="1">
      <alignment horizontal="right"/>
      <protection hidden="1"/>
    </xf>
    <xf numFmtId="0" fontId="12" fillId="0" borderId="0" xfId="0" applyFont="1" applyFill="1" applyBorder="1" applyAlignment="1" applyProtection="1">
      <alignment horizontal="right"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174" fontId="1" fillId="3" borderId="1" xfId="0" applyNumberFormat="1" applyFont="1" applyFill="1" applyBorder="1" applyAlignment="1" applyProtection="1">
      <alignment horizontal="right"/>
      <protection locked="0"/>
    </xf>
    <xf numFmtId="174" fontId="13" fillId="3" borderId="4" xfId="0" applyNumberFormat="1" applyFont="1" applyFill="1" applyBorder="1" applyAlignment="1" applyProtection="1">
      <alignment vertical="center"/>
      <protection locked="0"/>
    </xf>
    <xf numFmtId="176" fontId="13" fillId="3" borderId="3" xfId="0" applyNumberFormat="1" applyFont="1" applyFill="1" applyBorder="1" applyAlignment="1" applyProtection="1">
      <alignment vertical="center"/>
      <protection locked="0"/>
    </xf>
    <xf numFmtId="176" fontId="1" fillId="3" borderId="1" xfId="0" applyNumberFormat="1" applyFont="1" applyFill="1" applyBorder="1" applyAlignment="1" applyProtection="1">
      <alignment horizontal="right"/>
      <protection locked="0"/>
    </xf>
    <xf numFmtId="174" fontId="13" fillId="3" borderId="4" xfId="0" applyNumberFormat="1" applyFont="1" applyFill="1" applyBorder="1" applyAlignment="1" applyProtection="1">
      <alignment horizontal="right" vertical="center"/>
      <protection locked="0"/>
    </xf>
    <xf numFmtId="171" fontId="11" fillId="0" borderId="0" xfId="0" applyNumberFormat="1" applyFont="1" applyBorder="1" applyAlignment="1" applyProtection="1">
      <alignment vertical="center"/>
      <protection hidden="1"/>
    </xf>
    <xf numFmtId="0" fontId="13" fillId="0" borderId="0" xfId="0" applyFont="1" applyFill="1" applyBorder="1" applyAlignment="1" applyProtection="1">
      <alignment vertical="center"/>
      <protection hidden="1"/>
    </xf>
    <xf numFmtId="0" fontId="12" fillId="0" borderId="59" xfId="0" applyFont="1" applyFill="1" applyBorder="1" applyAlignment="1" applyProtection="1">
      <alignment horizontal="right" vertical="center"/>
      <protection hidden="1"/>
    </xf>
    <xf numFmtId="0" fontId="12" fillId="0" borderId="62" xfId="0" applyFont="1" applyFill="1" applyBorder="1" applyAlignment="1" applyProtection="1">
      <alignment horizontal="right" vertical="center"/>
      <protection hidden="1"/>
    </xf>
    <xf numFmtId="0" fontId="12" fillId="0" borderId="64" xfId="0" applyFont="1" applyFill="1" applyBorder="1" applyAlignment="1" applyProtection="1">
      <alignment horizontal="right" vertical="center"/>
      <protection hidden="1"/>
    </xf>
    <xf numFmtId="0" fontId="12" fillId="0" borderId="67" xfId="0" applyFont="1" applyFill="1" applyBorder="1" applyAlignment="1" applyProtection="1">
      <alignment horizontal="right" vertical="center"/>
      <protection hidden="1"/>
    </xf>
    <xf numFmtId="0" fontId="12" fillId="0" borderId="7" xfId="0" applyFont="1" applyFill="1" applyBorder="1" applyAlignment="1" applyProtection="1">
      <alignment horizontal="right" vertical="center"/>
      <protection hidden="1"/>
    </xf>
    <xf numFmtId="0" fontId="12" fillId="0" borderId="68" xfId="0" applyFont="1" applyFill="1" applyBorder="1" applyAlignment="1" applyProtection="1">
      <alignment horizontal="right" vertical="center"/>
      <protection hidden="1"/>
    </xf>
    <xf numFmtId="0" fontId="13" fillId="0" borderId="61" xfId="0" applyFont="1" applyBorder="1" applyAlignment="1" applyProtection="1">
      <alignment horizontal="center" vertical="center"/>
      <protection hidden="1"/>
    </xf>
    <xf numFmtId="0" fontId="16" fillId="0" borderId="0" xfId="0" applyFont="1" applyFill="1" applyBorder="1" applyAlignment="1" applyProtection="1">
      <protection hidden="1"/>
    </xf>
    <xf numFmtId="176" fontId="13" fillId="0" borderId="0" xfId="0" applyNumberFormat="1" applyFont="1" applyFill="1" applyBorder="1" applyAlignment="1" applyProtection="1">
      <alignment vertical="center"/>
      <protection hidden="1"/>
    </xf>
    <xf numFmtId="170" fontId="6" fillId="0" borderId="0" xfId="0" applyNumberFormat="1" applyFont="1" applyProtection="1">
      <protection hidden="1"/>
    </xf>
    <xf numFmtId="165" fontId="6" fillId="0" borderId="69" xfId="0" applyNumberFormat="1" applyFont="1" applyBorder="1" applyAlignment="1" applyProtection="1">
      <alignment horizontal="center"/>
      <protection hidden="1"/>
    </xf>
    <xf numFmtId="2" fontId="6" fillId="0" borderId="69" xfId="0" applyNumberFormat="1" applyFont="1" applyBorder="1" applyAlignment="1" applyProtection="1">
      <alignment horizontal="center"/>
      <protection hidden="1"/>
    </xf>
    <xf numFmtId="0" fontId="29" fillId="0" borderId="70" xfId="0" applyFont="1" applyBorder="1" applyAlignment="1" applyProtection="1">
      <alignment horizontal="center"/>
      <protection hidden="1"/>
    </xf>
    <xf numFmtId="0" fontId="29" fillId="0" borderId="71" xfId="0" applyFont="1" applyBorder="1" applyAlignment="1" applyProtection="1">
      <alignment horizontal="center"/>
      <protection hidden="1"/>
    </xf>
    <xf numFmtId="165" fontId="6" fillId="0" borderId="72" xfId="0" applyNumberFormat="1" applyFont="1" applyBorder="1" applyAlignment="1" applyProtection="1">
      <alignment horizontal="center"/>
      <protection hidden="1"/>
    </xf>
    <xf numFmtId="2" fontId="6" fillId="0" borderId="72" xfId="0" applyNumberFormat="1" applyFont="1" applyBorder="1" applyAlignment="1" applyProtection="1">
      <alignment horizontal="center"/>
      <protection hidden="1"/>
    </xf>
    <xf numFmtId="2" fontId="6" fillId="0" borderId="73" xfId="0" applyNumberFormat="1" applyFont="1" applyBorder="1" applyAlignment="1" applyProtection="1">
      <alignment horizontal="center"/>
      <protection hidden="1"/>
    </xf>
    <xf numFmtId="2" fontId="6" fillId="0" borderId="74" xfId="0" applyNumberFormat="1" applyFont="1" applyBorder="1" applyAlignment="1" applyProtection="1">
      <alignment horizontal="center"/>
      <protection hidden="1"/>
    </xf>
    <xf numFmtId="165" fontId="6" fillId="0" borderId="75" xfId="0" applyNumberFormat="1" applyFont="1" applyBorder="1" applyAlignment="1" applyProtection="1">
      <alignment horizontal="center"/>
      <protection hidden="1"/>
    </xf>
    <xf numFmtId="2" fontId="6" fillId="0" borderId="75" xfId="0" applyNumberFormat="1" applyFont="1" applyBorder="1" applyAlignment="1" applyProtection="1">
      <alignment horizontal="center"/>
      <protection hidden="1"/>
    </xf>
    <xf numFmtId="2" fontId="6" fillId="0" borderId="76" xfId="0" applyNumberFormat="1" applyFont="1" applyBorder="1" applyAlignment="1" applyProtection="1">
      <alignment horizontal="center"/>
      <protection hidden="1"/>
    </xf>
    <xf numFmtId="2" fontId="6" fillId="0" borderId="79" xfId="0" applyNumberFormat="1" applyFont="1" applyBorder="1" applyAlignment="1" applyProtection="1">
      <alignment horizontal="center"/>
      <protection hidden="1"/>
    </xf>
    <xf numFmtId="2" fontId="6" fillId="0" borderId="80" xfId="0" applyNumberFormat="1" applyFont="1" applyBorder="1" applyAlignment="1" applyProtection="1">
      <alignment horizontal="center"/>
      <protection hidden="1"/>
    </xf>
    <xf numFmtId="0" fontId="29" fillId="0" borderId="77" xfId="0" applyFont="1" applyBorder="1" applyAlignment="1" applyProtection="1">
      <alignment horizontal="center"/>
      <protection hidden="1"/>
    </xf>
    <xf numFmtId="165" fontId="6" fillId="0" borderId="82" xfId="0" applyNumberFormat="1" applyFont="1" applyBorder="1" applyAlignment="1" applyProtection="1">
      <alignment horizontal="center"/>
      <protection hidden="1"/>
    </xf>
    <xf numFmtId="165" fontId="6" fillId="0" borderId="83" xfId="0" applyNumberFormat="1" applyFont="1" applyBorder="1" applyAlignment="1" applyProtection="1">
      <alignment horizontal="center"/>
      <protection hidden="1"/>
    </xf>
    <xf numFmtId="165" fontId="6" fillId="0" borderId="84" xfId="0" applyNumberFormat="1" applyFont="1" applyBorder="1" applyAlignment="1" applyProtection="1">
      <alignment horizontal="center"/>
      <protection hidden="1"/>
    </xf>
    <xf numFmtId="0" fontId="6" fillId="0" borderId="2" xfId="0" applyFont="1" applyFill="1" applyBorder="1" applyAlignment="1" applyProtection="1">
      <alignment horizontal="right"/>
      <protection hidden="1"/>
    </xf>
    <xf numFmtId="0" fontId="32" fillId="0" borderId="0" xfId="0" applyFont="1" applyFill="1" applyBorder="1" applyAlignment="1" applyProtection="1">
      <alignment horizontal="left" vertical="center"/>
      <protection hidden="1"/>
    </xf>
    <xf numFmtId="0" fontId="34" fillId="0" borderId="0" xfId="0" applyFont="1" applyAlignment="1" applyProtection="1">
      <alignment horizontal="left"/>
      <protection hidden="1"/>
    </xf>
    <xf numFmtId="0" fontId="11" fillId="0" borderId="17" xfId="0" applyFont="1" applyBorder="1" applyAlignment="1" applyProtection="1">
      <alignment horizontal="center"/>
      <protection hidden="1"/>
    </xf>
    <xf numFmtId="177" fontId="11" fillId="0" borderId="18" xfId="0" applyNumberFormat="1" applyFont="1" applyBorder="1" applyAlignment="1" applyProtection="1">
      <alignment horizontal="center"/>
      <protection hidden="1"/>
    </xf>
    <xf numFmtId="0" fontId="11" fillId="0" borderId="22" xfId="0" applyFont="1" applyBorder="1" applyAlignment="1" applyProtection="1">
      <alignment horizontal="center"/>
      <protection hidden="1"/>
    </xf>
    <xf numFmtId="177" fontId="11" fillId="0" borderId="23" xfId="0" applyNumberFormat="1" applyFont="1" applyBorder="1" applyAlignment="1" applyProtection="1">
      <alignment horizontal="center"/>
      <protection hidden="1"/>
    </xf>
    <xf numFmtId="0" fontId="11" fillId="0" borderId="37" xfId="0" applyFont="1" applyBorder="1" applyAlignment="1" applyProtection="1">
      <alignment horizontal="center"/>
      <protection hidden="1"/>
    </xf>
    <xf numFmtId="177" fontId="11" fillId="0" borderId="38" xfId="0" applyNumberFormat="1" applyFont="1" applyBorder="1" applyAlignment="1" applyProtection="1">
      <alignment horizontal="center"/>
      <protection hidden="1"/>
    </xf>
    <xf numFmtId="0" fontId="13" fillId="0" borderId="12" xfId="0" applyFont="1" applyBorder="1" applyAlignment="1" applyProtection="1">
      <alignment horizontal="center" vertical="center"/>
      <protection hidden="1"/>
    </xf>
    <xf numFmtId="0" fontId="13" fillId="0" borderId="13" xfId="0" applyFont="1" applyBorder="1" applyAlignment="1" applyProtection="1">
      <alignment horizontal="center" vertical="center"/>
      <protection hidden="1"/>
    </xf>
    <xf numFmtId="0" fontId="11" fillId="0" borderId="27" xfId="0" applyFont="1" applyBorder="1" applyAlignment="1" applyProtection="1">
      <alignment horizontal="center" vertical="center"/>
      <protection hidden="1"/>
    </xf>
    <xf numFmtId="0" fontId="11" fillId="0" borderId="28" xfId="0" applyFont="1" applyBorder="1" applyAlignment="1" applyProtection="1">
      <alignment horizontal="center" vertical="center"/>
      <protection hidden="1"/>
    </xf>
    <xf numFmtId="0" fontId="11" fillId="0" borderId="29" xfId="0" applyFont="1" applyBorder="1" applyAlignment="1" applyProtection="1">
      <alignment horizontal="center" vertical="center"/>
      <protection hidden="1"/>
    </xf>
    <xf numFmtId="170" fontId="11" fillId="0" borderId="30" xfId="0" applyNumberFormat="1" applyFont="1" applyBorder="1" applyAlignment="1" applyProtection="1">
      <alignment horizontal="center" vertical="center"/>
      <protection hidden="1"/>
    </xf>
    <xf numFmtId="170" fontId="11" fillId="0" borderId="31" xfId="0" applyNumberFormat="1" applyFont="1" applyBorder="1" applyAlignment="1" applyProtection="1">
      <alignment horizontal="center" vertical="center"/>
      <protection hidden="1"/>
    </xf>
    <xf numFmtId="0" fontId="25" fillId="0" borderId="70" xfId="0" applyFont="1" applyBorder="1" applyAlignment="1" applyProtection="1">
      <alignment horizontal="right"/>
      <protection hidden="1"/>
    </xf>
    <xf numFmtId="176" fontId="25" fillId="0" borderId="70" xfId="0" applyNumberFormat="1" applyFont="1" applyFill="1" applyBorder="1" applyAlignment="1" applyProtection="1">
      <protection hidden="1"/>
    </xf>
    <xf numFmtId="174" fontId="25" fillId="0" borderId="70" xfId="0" applyNumberFormat="1" applyFont="1" applyFill="1" applyBorder="1" applyAlignment="1" applyProtection="1">
      <protection hidden="1"/>
    </xf>
    <xf numFmtId="0" fontId="37" fillId="0" borderId="71" xfId="0" applyFont="1" applyFill="1" applyBorder="1" applyAlignment="1" applyProtection="1">
      <alignment horizontal="center"/>
      <protection hidden="1"/>
    </xf>
    <xf numFmtId="174" fontId="13" fillId="0" borderId="0" xfId="0" applyNumberFormat="1" applyFont="1" applyFill="1" applyBorder="1" applyAlignment="1" applyProtection="1">
      <alignment horizontal="center" vertical="center"/>
      <protection hidden="1"/>
    </xf>
    <xf numFmtId="0" fontId="13" fillId="0" borderId="0" xfId="0" applyFont="1" applyFill="1" applyBorder="1" applyAlignment="1" applyProtection="1">
      <alignment horizontal="center" vertical="center"/>
      <protection hidden="1"/>
    </xf>
    <xf numFmtId="169" fontId="13" fillId="0" borderId="0" xfId="0" applyNumberFormat="1" applyFont="1" applyFill="1" applyBorder="1" applyAlignment="1" applyProtection="1">
      <alignment horizontal="right" vertical="center"/>
      <protection hidden="1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0" fontId="36" fillId="0" borderId="72" xfId="0" applyFont="1" applyFill="1" applyBorder="1" applyAlignment="1" applyProtection="1">
      <alignment horizontal="right"/>
      <protection hidden="1"/>
    </xf>
    <xf numFmtId="0" fontId="36" fillId="0" borderId="75" xfId="0" applyFont="1" applyFill="1" applyBorder="1" applyAlignment="1" applyProtection="1">
      <alignment horizontal="right"/>
      <protection hidden="1"/>
    </xf>
    <xf numFmtId="175" fontId="36" fillId="0" borderId="75" xfId="0" applyNumberFormat="1" applyFont="1" applyBorder="1" applyProtection="1">
      <protection hidden="1"/>
    </xf>
    <xf numFmtId="174" fontId="36" fillId="0" borderId="75" xfId="0" applyNumberFormat="1" applyFont="1" applyBorder="1" applyAlignment="1" applyProtection="1">
      <alignment horizontal="center"/>
      <protection hidden="1"/>
    </xf>
    <xf numFmtId="0" fontId="36" fillId="0" borderId="76" xfId="0" applyFont="1" applyBorder="1" applyProtection="1">
      <protection hidden="1"/>
    </xf>
    <xf numFmtId="21" fontId="35" fillId="0" borderId="0" xfId="0" applyNumberFormat="1" applyFont="1" applyProtection="1">
      <protection hidden="1"/>
    </xf>
    <xf numFmtId="183" fontId="24" fillId="0" borderId="0" xfId="0" applyNumberFormat="1" applyFont="1" applyFill="1" applyBorder="1" applyAlignment="1" applyProtection="1">
      <alignment vertical="center"/>
      <protection hidden="1"/>
    </xf>
    <xf numFmtId="1" fontId="21" fillId="0" borderId="0" xfId="0" applyNumberFormat="1" applyFont="1" applyFill="1" applyBorder="1" applyAlignment="1" applyProtection="1">
      <protection hidden="1"/>
    </xf>
    <xf numFmtId="176" fontId="13" fillId="0" borderId="0" xfId="0" applyNumberFormat="1" applyFont="1" applyFill="1" applyBorder="1" applyAlignment="1" applyProtection="1">
      <alignment horizontal="right" vertical="center"/>
      <protection hidden="1"/>
    </xf>
    <xf numFmtId="174" fontId="1" fillId="0" borderId="0" xfId="0" applyNumberFormat="1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horizontal="left" vertical="center"/>
      <protection hidden="1"/>
    </xf>
    <xf numFmtId="175" fontId="25" fillId="0" borderId="70" xfId="0" applyNumberFormat="1" applyFont="1" applyFill="1" applyBorder="1" applyAlignment="1" applyProtection="1">
      <protection hidden="1"/>
    </xf>
    <xf numFmtId="0" fontId="38" fillId="0" borderId="0" xfId="0" applyFont="1" applyAlignment="1" applyProtection="1">
      <alignment horizontal="right"/>
      <protection hidden="1"/>
    </xf>
    <xf numFmtId="0" fontId="36" fillId="0" borderId="86" xfId="0" applyFont="1" applyBorder="1" applyAlignment="1" applyProtection="1">
      <protection hidden="1"/>
    </xf>
    <xf numFmtId="0" fontId="36" fillId="0" borderId="87" xfId="0" applyFont="1" applyFill="1" applyBorder="1" applyAlignment="1" applyProtection="1">
      <protection hidden="1"/>
    </xf>
    <xf numFmtId="0" fontId="36" fillId="0" borderId="88" xfId="0" applyFont="1" applyBorder="1" applyProtection="1">
      <protection hidden="1"/>
    </xf>
    <xf numFmtId="0" fontId="6" fillId="0" borderId="85" xfId="0" applyFont="1" applyBorder="1" applyProtection="1">
      <protection hidden="1"/>
    </xf>
    <xf numFmtId="170" fontId="6" fillId="0" borderId="85" xfId="0" applyNumberFormat="1" applyFont="1" applyBorder="1" applyProtection="1">
      <protection hidden="1"/>
    </xf>
    <xf numFmtId="0" fontId="6" fillId="0" borderId="3" xfId="0" applyFont="1" applyBorder="1" applyProtection="1">
      <protection hidden="1"/>
    </xf>
    <xf numFmtId="2" fontId="6" fillId="0" borderId="5" xfId="0" applyNumberFormat="1" applyFont="1" applyBorder="1" applyProtection="1">
      <protection hidden="1"/>
    </xf>
    <xf numFmtId="2" fontId="36" fillId="0" borderId="4" xfId="0" applyNumberFormat="1" applyFont="1" applyBorder="1" applyProtection="1">
      <protection hidden="1"/>
    </xf>
    <xf numFmtId="2" fontId="36" fillId="0" borderId="4" xfId="0" applyNumberFormat="1" applyFont="1" applyBorder="1" applyAlignment="1" applyProtection="1">
      <alignment horizontal="right" vertical="center"/>
      <protection hidden="1"/>
    </xf>
    <xf numFmtId="0" fontId="11" fillId="0" borderId="32" xfId="0" applyFont="1" applyBorder="1" applyAlignment="1" applyProtection="1">
      <alignment horizontal="right" vertical="center"/>
      <protection hidden="1"/>
    </xf>
    <xf numFmtId="178" fontId="11" fillId="0" borderId="33" xfId="0" applyNumberFormat="1" applyFont="1" applyBorder="1" applyAlignment="1" applyProtection="1">
      <alignment horizontal="right"/>
      <protection hidden="1"/>
    </xf>
    <xf numFmtId="178" fontId="11" fillId="0" borderId="40" xfId="0" applyNumberFormat="1" applyFont="1" applyBorder="1" applyAlignment="1" applyProtection="1">
      <alignment horizontal="right"/>
      <protection hidden="1"/>
    </xf>
    <xf numFmtId="0" fontId="0" fillId="0" borderId="41" xfId="0" applyFont="1" applyBorder="1" applyAlignment="1" applyProtection="1">
      <alignment horizontal="right"/>
      <protection hidden="1"/>
    </xf>
    <xf numFmtId="179" fontId="11" fillId="0" borderId="42" xfId="0" applyNumberFormat="1" applyFont="1" applyBorder="1" applyAlignment="1" applyProtection="1">
      <alignment horizontal="right"/>
      <protection hidden="1"/>
    </xf>
    <xf numFmtId="179" fontId="11" fillId="0" borderId="43" xfId="0" applyNumberFormat="1" applyFont="1" applyBorder="1" applyAlignment="1" applyProtection="1">
      <alignment horizontal="right"/>
      <protection hidden="1"/>
    </xf>
    <xf numFmtId="165" fontId="11" fillId="0" borderId="42" xfId="0" applyNumberFormat="1" applyFont="1" applyBorder="1" applyAlignment="1" applyProtection="1">
      <alignment horizontal="right"/>
      <protection hidden="1"/>
    </xf>
    <xf numFmtId="165" fontId="11" fillId="0" borderId="43" xfId="0" applyNumberFormat="1" applyFont="1" applyBorder="1" applyAlignment="1" applyProtection="1">
      <alignment horizontal="right"/>
      <protection hidden="1"/>
    </xf>
    <xf numFmtId="180" fontId="11" fillId="0" borderId="40" xfId="0" applyNumberFormat="1" applyFont="1" applyBorder="1" applyAlignment="1" applyProtection="1">
      <alignment horizontal="right"/>
      <protection hidden="1"/>
    </xf>
    <xf numFmtId="0" fontId="20" fillId="0" borderId="41" xfId="0" applyFont="1" applyBorder="1" applyAlignment="1" applyProtection="1">
      <alignment horizontal="right"/>
      <protection hidden="1"/>
    </xf>
    <xf numFmtId="0" fontId="11" fillId="0" borderId="48" xfId="0" applyFont="1" applyBorder="1" applyAlignment="1" applyProtection="1">
      <alignment horizontal="right" vertical="center"/>
      <protection hidden="1"/>
    </xf>
    <xf numFmtId="181" fontId="14" fillId="0" borderId="49" xfId="0" applyNumberFormat="1" applyFont="1" applyBorder="1" applyAlignment="1" applyProtection="1">
      <alignment horizontal="center" vertical="center"/>
      <protection hidden="1"/>
    </xf>
    <xf numFmtId="0" fontId="20" fillId="0" borderId="50" xfId="0" applyFont="1" applyBorder="1" applyAlignment="1" applyProtection="1">
      <alignment horizontal="right"/>
      <protection hidden="1"/>
    </xf>
    <xf numFmtId="165" fontId="11" fillId="0" borderId="51" xfId="0" applyNumberFormat="1" applyFont="1" applyBorder="1" applyAlignment="1" applyProtection="1">
      <alignment horizontal="right"/>
      <protection hidden="1"/>
    </xf>
    <xf numFmtId="165" fontId="11" fillId="0" borderId="52" xfId="0" applyNumberFormat="1" applyFont="1" applyBorder="1" applyAlignment="1" applyProtection="1">
      <alignment horizontal="right"/>
      <protection hidden="1"/>
    </xf>
    <xf numFmtId="0" fontId="0" fillId="0" borderId="53" xfId="0" applyFont="1" applyBorder="1" applyAlignment="1" applyProtection="1">
      <alignment horizontal="right"/>
      <protection hidden="1"/>
    </xf>
    <xf numFmtId="165" fontId="11" fillId="0" borderId="54" xfId="0" applyNumberFormat="1" applyFont="1" applyBorder="1" applyAlignment="1" applyProtection="1">
      <alignment horizontal="right"/>
      <protection hidden="1"/>
    </xf>
    <xf numFmtId="165" fontId="11" fillId="0" borderId="55" xfId="0" applyNumberFormat="1" applyFont="1" applyBorder="1" applyAlignment="1" applyProtection="1">
      <alignment horizontal="right"/>
      <protection hidden="1"/>
    </xf>
    <xf numFmtId="0" fontId="0" fillId="0" borderId="56" xfId="0" applyFont="1" applyBorder="1" applyAlignment="1" applyProtection="1">
      <alignment horizontal="right"/>
      <protection hidden="1"/>
    </xf>
    <xf numFmtId="165" fontId="11" fillId="0" borderId="57" xfId="0" applyNumberFormat="1" applyFont="1" applyBorder="1" applyAlignment="1" applyProtection="1">
      <alignment horizontal="right"/>
      <protection hidden="1"/>
    </xf>
    <xf numFmtId="165" fontId="11" fillId="0" borderId="58" xfId="0" applyNumberFormat="1" applyFont="1" applyBorder="1" applyAlignment="1" applyProtection="1">
      <alignment horizontal="right"/>
      <protection hidden="1"/>
    </xf>
    <xf numFmtId="0" fontId="20" fillId="0" borderId="53" xfId="0" applyFont="1" applyBorder="1" applyAlignment="1" applyProtection="1">
      <alignment horizontal="right"/>
      <protection hidden="1"/>
    </xf>
    <xf numFmtId="165" fontId="14" fillId="0" borderId="54" xfId="0" applyNumberFormat="1" applyFont="1" applyBorder="1" applyAlignment="1" applyProtection="1">
      <alignment horizontal="right"/>
      <protection hidden="1"/>
    </xf>
    <xf numFmtId="165" fontId="14" fillId="0" borderId="55" xfId="0" applyNumberFormat="1" applyFont="1" applyBorder="1" applyAlignment="1" applyProtection="1">
      <alignment horizontal="right"/>
      <protection hidden="1"/>
    </xf>
    <xf numFmtId="182" fontId="11" fillId="0" borderId="36" xfId="0" applyNumberFormat="1" applyFont="1" applyBorder="1" applyAlignment="1" applyProtection="1">
      <alignment horizontal="right" vertical="center"/>
      <protection hidden="1"/>
    </xf>
    <xf numFmtId="182" fontId="11" fillId="0" borderId="54" xfId="0" applyNumberFormat="1" applyFont="1" applyBorder="1" applyAlignment="1" applyProtection="1">
      <alignment horizontal="right" vertical="center"/>
      <protection hidden="1"/>
    </xf>
    <xf numFmtId="182" fontId="11" fillId="0" borderId="55" xfId="0" applyNumberFormat="1" applyFont="1" applyBorder="1" applyAlignment="1" applyProtection="1">
      <alignment horizontal="right" vertical="center"/>
      <protection hidden="1"/>
    </xf>
    <xf numFmtId="0" fontId="15" fillId="3" borderId="5" xfId="0" applyFont="1" applyFill="1" applyBorder="1" applyAlignment="1" applyProtection="1">
      <alignment vertical="top"/>
      <protection locked="0"/>
    </xf>
    <xf numFmtId="184" fontId="36" fillId="3" borderId="2" xfId="0" applyNumberFormat="1" applyFont="1" applyFill="1" applyBorder="1" applyAlignment="1" applyProtection="1">
      <alignment horizontal="center" vertical="center"/>
      <protection locked="0"/>
    </xf>
    <xf numFmtId="0" fontId="23" fillId="0" borderId="78" xfId="0" applyFont="1" applyBorder="1" applyAlignment="1" applyProtection="1">
      <alignment horizontal="center" vertical="center"/>
      <protection hidden="1"/>
    </xf>
    <xf numFmtId="165" fontId="6" fillId="0" borderId="89" xfId="0" applyNumberFormat="1" applyFont="1" applyBorder="1" applyAlignment="1" applyProtection="1">
      <alignment horizontal="center"/>
      <protection hidden="1"/>
    </xf>
    <xf numFmtId="165" fontId="6" fillId="0" borderId="90" xfId="0" applyNumberFormat="1" applyFont="1" applyBorder="1" applyAlignment="1" applyProtection="1">
      <alignment horizontal="center"/>
      <protection hidden="1"/>
    </xf>
    <xf numFmtId="2" fontId="6" fillId="0" borderId="81" xfId="0" applyNumberFormat="1" applyFont="1" applyBorder="1" applyAlignment="1" applyProtection="1">
      <alignment horizontal="center"/>
      <protection hidden="1"/>
    </xf>
    <xf numFmtId="165" fontId="6" fillId="0" borderId="91" xfId="0" applyNumberFormat="1" applyFont="1" applyBorder="1" applyAlignment="1" applyProtection="1">
      <alignment horizontal="center"/>
      <protection hidden="1"/>
    </xf>
    <xf numFmtId="171" fontId="35" fillId="0" borderId="0" xfId="0" applyNumberFormat="1" applyFont="1" applyProtection="1">
      <protection hidden="1"/>
    </xf>
    <xf numFmtId="170" fontId="35" fillId="0" borderId="0" xfId="0" applyNumberFormat="1" applyFont="1" applyProtection="1">
      <protection hidden="1"/>
    </xf>
    <xf numFmtId="179" fontId="30" fillId="0" borderId="0" xfId="0" applyNumberFormat="1" applyFont="1" applyFill="1" applyBorder="1" applyAlignment="1" applyProtection="1">
      <alignment horizontal="right" vertical="center"/>
      <protection hidden="1"/>
    </xf>
    <xf numFmtId="0" fontId="35" fillId="0" borderId="0" xfId="0" applyFont="1" applyProtection="1">
      <protection hidden="1"/>
    </xf>
    <xf numFmtId="168" fontId="35" fillId="0" borderId="0" xfId="0" applyNumberFormat="1" applyFont="1" applyProtection="1">
      <protection hidden="1"/>
    </xf>
    <xf numFmtId="2" fontId="33" fillId="0" borderId="80" xfId="0" applyNumberFormat="1" applyFont="1" applyBorder="1" applyAlignment="1" applyProtection="1">
      <alignment horizontal="center"/>
      <protection hidden="1"/>
    </xf>
    <xf numFmtId="165" fontId="33" fillId="0" borderId="69" xfId="0" applyNumberFormat="1" applyFont="1" applyBorder="1" applyAlignment="1" applyProtection="1">
      <alignment horizontal="center"/>
      <protection hidden="1"/>
    </xf>
    <xf numFmtId="165" fontId="33" fillId="0" borderId="90" xfId="0" applyNumberFormat="1" applyFont="1" applyBorder="1" applyAlignment="1" applyProtection="1">
      <alignment horizontal="center"/>
      <protection hidden="1"/>
    </xf>
    <xf numFmtId="165" fontId="33" fillId="0" borderId="83" xfId="0" applyNumberFormat="1" applyFont="1" applyBorder="1" applyAlignment="1" applyProtection="1">
      <alignment horizontal="center"/>
      <protection hidden="1"/>
    </xf>
    <xf numFmtId="2" fontId="33" fillId="0" borderId="69" xfId="0" applyNumberFormat="1" applyFont="1" applyBorder="1" applyAlignment="1" applyProtection="1">
      <alignment horizontal="center"/>
      <protection hidden="1"/>
    </xf>
    <xf numFmtId="2" fontId="33" fillId="0" borderId="74" xfId="0" applyNumberFormat="1" applyFont="1" applyBorder="1" applyAlignment="1" applyProtection="1">
      <alignment horizontal="center"/>
      <protection hidden="1"/>
    </xf>
    <xf numFmtId="165" fontId="30" fillId="0" borderId="0" xfId="0" applyNumberFormat="1" applyFont="1" applyProtection="1">
      <protection hidden="1"/>
    </xf>
    <xf numFmtId="0" fontId="39" fillId="0" borderId="0" xfId="0" applyFont="1" applyFill="1" applyBorder="1" applyAlignment="1" applyProtection="1">
      <protection hidden="1"/>
    </xf>
    <xf numFmtId="0" fontId="30" fillId="0" borderId="0" xfId="0" applyFont="1" applyProtection="1">
      <protection hidden="1"/>
    </xf>
    <xf numFmtId="0" fontId="6" fillId="0" borderId="92" xfId="0" applyFont="1" applyBorder="1" applyProtection="1">
      <protection hidden="1"/>
    </xf>
    <xf numFmtId="0" fontId="7" fillId="0" borderId="92" xfId="0" applyFont="1" applyBorder="1" applyProtection="1">
      <protection hidden="1"/>
    </xf>
    <xf numFmtId="0" fontId="7" fillId="0" borderId="92" xfId="0" applyFont="1" applyFill="1" applyBorder="1" applyProtection="1">
      <protection hidden="1"/>
    </xf>
    <xf numFmtId="0" fontId="11" fillId="0" borderId="92" xfId="0" applyFont="1" applyFill="1" applyBorder="1" applyAlignment="1" applyProtection="1">
      <alignment horizontal="right"/>
      <protection hidden="1"/>
    </xf>
    <xf numFmtId="1" fontId="1" fillId="0" borderId="92" xfId="0" applyNumberFormat="1" applyFont="1" applyFill="1" applyBorder="1" applyAlignment="1" applyProtection="1">
      <protection hidden="1"/>
    </xf>
    <xf numFmtId="166" fontId="1" fillId="0" borderId="92" xfId="0" applyNumberFormat="1" applyFont="1" applyFill="1" applyBorder="1" applyAlignment="1" applyProtection="1">
      <protection hidden="1"/>
    </xf>
    <xf numFmtId="185" fontId="17" fillId="3" borderId="60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Fill="1" applyBorder="1" applyAlignment="1" applyProtection="1">
      <alignment horizontal="center"/>
      <protection hidden="1"/>
    </xf>
    <xf numFmtId="169" fontId="36" fillId="0" borderId="0" xfId="0" applyNumberFormat="1" applyFont="1" applyFill="1" applyBorder="1" applyAlignment="1" applyProtection="1">
      <alignment horizontal="center"/>
      <protection hidden="1"/>
    </xf>
    <xf numFmtId="0" fontId="36" fillId="0" borderId="0" xfId="0" applyFont="1" applyBorder="1" applyProtection="1">
      <protection hidden="1"/>
    </xf>
    <xf numFmtId="0" fontId="40" fillId="0" borderId="0" xfId="0" applyFont="1" applyFill="1" applyBorder="1" applyAlignment="1" applyProtection="1">
      <alignment horizontal="right"/>
      <protection hidden="1"/>
    </xf>
    <xf numFmtId="169" fontId="36" fillId="0" borderId="72" xfId="0" applyNumberFormat="1" applyFont="1" applyFill="1" applyBorder="1" applyAlignment="1" applyProtection="1">
      <alignment horizontal="center"/>
      <protection hidden="1"/>
    </xf>
    <xf numFmtId="169" fontId="36" fillId="0" borderId="73" xfId="0" applyNumberFormat="1" applyFont="1" applyFill="1" applyBorder="1" applyAlignment="1" applyProtection="1">
      <alignment horizontal="center"/>
      <protection hidden="1"/>
    </xf>
    <xf numFmtId="0" fontId="13" fillId="0" borderId="44" xfId="0" applyFont="1" applyBorder="1" applyAlignment="1" applyProtection="1">
      <alignment horizontal="center" vertical="center"/>
      <protection hidden="1"/>
    </xf>
    <xf numFmtId="0" fontId="13" fillId="0" borderId="46" xfId="0" applyFont="1" applyBorder="1" applyAlignment="1" applyProtection="1">
      <alignment horizontal="center" vertical="center"/>
      <protection hidden="1"/>
    </xf>
    <xf numFmtId="171" fontId="13" fillId="3" borderId="3" xfId="0" applyNumberFormat="1" applyFont="1" applyFill="1" applyBorder="1" applyAlignment="1" applyProtection="1">
      <alignment horizontal="center" vertical="center"/>
      <protection locked="0"/>
    </xf>
    <xf numFmtId="171" fontId="13" fillId="3" borderId="4" xfId="0" applyNumberFormat="1" applyFont="1" applyFill="1" applyBorder="1" applyAlignment="1" applyProtection="1">
      <alignment horizontal="center" vertical="center"/>
      <protection locked="0"/>
    </xf>
    <xf numFmtId="171" fontId="13" fillId="3" borderId="5" xfId="0" applyNumberFormat="1" applyFont="1" applyFill="1" applyBorder="1" applyAlignment="1" applyProtection="1">
      <alignment horizontal="center" vertical="center"/>
      <protection locked="0"/>
    </xf>
    <xf numFmtId="167" fontId="13" fillId="0" borderId="3" xfId="0" applyNumberFormat="1" applyFont="1" applyFill="1" applyBorder="1" applyAlignment="1" applyProtection="1">
      <alignment horizontal="center" vertical="center"/>
      <protection hidden="1"/>
    </xf>
    <xf numFmtId="167" fontId="13" fillId="0" borderId="4" xfId="0" applyNumberFormat="1" applyFont="1" applyFill="1" applyBorder="1" applyAlignment="1" applyProtection="1">
      <alignment horizontal="center" vertical="center"/>
      <protection hidden="1"/>
    </xf>
    <xf numFmtId="167" fontId="13" fillId="0" borderId="5" xfId="0" applyNumberFormat="1" applyFont="1" applyFill="1" applyBorder="1" applyAlignment="1" applyProtection="1">
      <alignment horizontal="center" vertical="center"/>
      <protection hidden="1"/>
    </xf>
    <xf numFmtId="171" fontId="17" fillId="3" borderId="3" xfId="0" applyNumberFormat="1" applyFont="1" applyFill="1" applyBorder="1" applyAlignment="1" applyProtection="1">
      <alignment horizontal="center" vertical="center"/>
      <protection locked="0"/>
    </xf>
    <xf numFmtId="171" fontId="17" fillId="3" borderId="4" xfId="0" applyNumberFormat="1" applyFont="1" applyFill="1" applyBorder="1" applyAlignment="1" applyProtection="1">
      <alignment horizontal="center" vertical="center"/>
      <protection locked="0"/>
    </xf>
    <xf numFmtId="171" fontId="17" fillId="3" borderId="5" xfId="0" applyNumberFormat="1" applyFont="1" applyFill="1" applyBorder="1" applyAlignment="1" applyProtection="1">
      <alignment horizontal="center" vertical="center"/>
      <protection locked="0"/>
    </xf>
    <xf numFmtId="0" fontId="17" fillId="3" borderId="8" xfId="0" applyFont="1" applyFill="1" applyBorder="1" applyAlignment="1" applyProtection="1">
      <alignment horizontal="center" vertical="center"/>
      <protection locked="0"/>
    </xf>
    <xf numFmtId="0" fontId="17" fillId="3" borderId="63" xfId="0" applyFont="1" applyFill="1" applyBorder="1" applyAlignment="1" applyProtection="1">
      <alignment horizontal="center" vertical="center"/>
      <protection locked="0"/>
    </xf>
    <xf numFmtId="177" fontId="17" fillId="3" borderId="65" xfId="0" applyNumberFormat="1" applyFont="1" applyFill="1" applyBorder="1" applyAlignment="1" applyProtection="1">
      <alignment horizontal="center" vertical="center"/>
      <protection locked="0"/>
    </xf>
    <xf numFmtId="177" fontId="17" fillId="3" borderId="66" xfId="0" applyNumberFormat="1" applyFont="1" applyFill="1" applyBorder="1" applyAlignment="1" applyProtection="1">
      <alignment horizontal="center" vertical="center"/>
      <protection locked="0"/>
    </xf>
    <xf numFmtId="20" fontId="17" fillId="3" borderId="3" xfId="0" applyNumberFormat="1" applyFont="1" applyFill="1" applyBorder="1" applyAlignment="1" applyProtection="1">
      <alignment horizontal="center" vertical="center"/>
      <protection locked="0"/>
    </xf>
    <xf numFmtId="20" fontId="17" fillId="3" borderId="4" xfId="0" applyNumberFormat="1" applyFont="1" applyFill="1" applyBorder="1" applyAlignment="1" applyProtection="1">
      <alignment horizontal="center" vertical="center"/>
      <protection locked="0"/>
    </xf>
    <xf numFmtId="20" fontId="17" fillId="3" borderId="5" xfId="0" applyNumberFormat="1" applyFont="1" applyFill="1" applyBorder="1" applyAlignment="1" applyProtection="1">
      <alignment horizontal="center" vertical="center"/>
      <protection locked="0"/>
    </xf>
    <xf numFmtId="167" fontId="13" fillId="3" borderId="3" xfId="0" applyNumberFormat="1" applyFont="1" applyFill="1" applyBorder="1" applyAlignment="1" applyProtection="1">
      <alignment horizontal="center" vertical="center"/>
      <protection locked="0"/>
    </xf>
    <xf numFmtId="167" fontId="13" fillId="3" borderId="4" xfId="0" applyNumberFormat="1" applyFont="1" applyFill="1" applyBorder="1" applyAlignment="1" applyProtection="1">
      <alignment horizontal="center" vertical="center"/>
      <protection locked="0"/>
    </xf>
    <xf numFmtId="167" fontId="13" fillId="3" borderId="5" xfId="0" applyNumberFormat="1" applyFont="1" applyFill="1" applyBorder="1" applyAlignment="1" applyProtection="1">
      <alignment horizontal="center" vertical="center"/>
      <protection locked="0"/>
    </xf>
    <xf numFmtId="174" fontId="13" fillId="3" borderId="4" xfId="0" applyNumberFormat="1" applyFont="1" applyFill="1" applyBorder="1" applyAlignment="1" applyProtection="1">
      <alignment horizontal="center" vertical="center"/>
      <protection locked="0"/>
    </xf>
    <xf numFmtId="174" fontId="13" fillId="3" borderId="5" xfId="0" applyNumberFormat="1" applyFont="1" applyFill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EFEDB"/>
      <color rgb="FFFFFF66"/>
      <color rgb="FFFC6A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Navigation!$AB$7:$AB$27</c:f>
              <c:numCache>
                <c:formatCode>0.00</c:formatCode>
                <c:ptCount val="21"/>
                <c:pt idx="0">
                  <c:v>6.8361281617625931</c:v>
                </c:pt>
                <c:pt idx="1">
                  <c:v>6.8056265164902143</c:v>
                </c:pt>
                <c:pt idx="2">
                  <c:v>6.7751961977229449</c:v>
                </c:pt>
                <c:pt idx="3">
                  <c:v>6.7448368784563035</c:v>
                </c:pt>
                <c:pt idx="4">
                  <c:v>6.7145482342784959</c:v>
                </c:pt>
                <c:pt idx="5">
                  <c:v>6.6843299433416128</c:v>
                </c:pt>
                <c:pt idx="6">
                  <c:v>6.654181686332822</c:v>
                </c:pt>
                <c:pt idx="7">
                  <c:v>6.6241031464458775</c:v>
                </c:pt>
                <c:pt idx="8">
                  <c:v>6.5940940093535811</c:v>
                </c:pt>
                <c:pt idx="9">
                  <c:v>6.5641539631799519</c:v>
                </c:pt>
                <c:pt idx="10">
                  <c:v>6.5342826984732536</c:v>
                </c:pt>
                <c:pt idx="11">
                  <c:v>6.50447990817948</c:v>
                </c:pt>
                <c:pt idx="12">
                  <c:v>6.4747452876157929</c:v>
                </c:pt>
                <c:pt idx="13">
                  <c:v>6.445078534444515</c:v>
                </c:pt>
                <c:pt idx="14">
                  <c:v>6.4154793486478434</c:v>
                </c:pt>
                <c:pt idx="15">
                  <c:v>6.3859474325022463</c:v>
                </c:pt>
                <c:pt idx="16">
                  <c:v>6.3564824905539901</c:v>
                </c:pt>
                <c:pt idx="17">
                  <c:v>6.327084229594151</c:v>
                </c:pt>
                <c:pt idx="18">
                  <c:v>6.2977523586349511</c:v>
                </c:pt>
                <c:pt idx="19">
                  <c:v>6.2684865888854855</c:v>
                </c:pt>
                <c:pt idx="20">
                  <c:v>6.2392866337283648</c:v>
                </c:pt>
              </c:numCache>
            </c:numRef>
          </c:cat>
          <c:val>
            <c:numRef>
              <c:f>Navigation!$AC$7:$AC$27</c:f>
              <c:numCache>
                <c:formatCode>0.00</c:formatCode>
                <c:ptCount val="21"/>
                <c:pt idx="0">
                  <c:v>41.300000000000004</c:v>
                </c:pt>
                <c:pt idx="1">
                  <c:v>41.283333333333331</c:v>
                </c:pt>
                <c:pt idx="2">
                  <c:v>41.266666666666673</c:v>
                </c:pt>
                <c:pt idx="3">
                  <c:v>41.250000000000007</c:v>
                </c:pt>
                <c:pt idx="4">
                  <c:v>41.233333333333334</c:v>
                </c:pt>
                <c:pt idx="5">
                  <c:v>41.216666666666669</c:v>
                </c:pt>
                <c:pt idx="6">
                  <c:v>41.2</c:v>
                </c:pt>
                <c:pt idx="7">
                  <c:v>41.18333333333333</c:v>
                </c:pt>
                <c:pt idx="8">
                  <c:v>41.166666666666671</c:v>
                </c:pt>
                <c:pt idx="9">
                  <c:v>41.150000000000006</c:v>
                </c:pt>
                <c:pt idx="10">
                  <c:v>41.133333333333333</c:v>
                </c:pt>
                <c:pt idx="11">
                  <c:v>41.116666666666667</c:v>
                </c:pt>
                <c:pt idx="12">
                  <c:v>41.1</c:v>
                </c:pt>
                <c:pt idx="13">
                  <c:v>41.083333333333343</c:v>
                </c:pt>
                <c:pt idx="14">
                  <c:v>41.06666666666667</c:v>
                </c:pt>
                <c:pt idx="15">
                  <c:v>41.050000000000004</c:v>
                </c:pt>
                <c:pt idx="16">
                  <c:v>41.033333333333339</c:v>
                </c:pt>
                <c:pt idx="17">
                  <c:v>41.016666666666666</c:v>
                </c:pt>
                <c:pt idx="18">
                  <c:v>41</c:v>
                </c:pt>
                <c:pt idx="19">
                  <c:v>40.983333333333341</c:v>
                </c:pt>
                <c:pt idx="20">
                  <c:v>40.966666666666669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77-C344-9C21-46ED1BB7E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93310464"/>
        <c:axId val="2135526224"/>
      </c:lineChart>
      <c:catAx>
        <c:axId val="1993310464"/>
        <c:scaling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2135526224"/>
        <c:crosses val="autoZero"/>
        <c:auto val="1"/>
        <c:lblAlgn val="ctr"/>
        <c:lblOffset val="100"/>
        <c:tickLblSkip val="2"/>
        <c:tickMarkSkip val="1"/>
        <c:noMultiLvlLbl val="1"/>
      </c:catAx>
      <c:valAx>
        <c:axId val="2135526224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;[Red]\-0.0\°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993310464"/>
        <c:crosses val="autoZero"/>
        <c:crossBetween val="midCat"/>
      </c:valAx>
      <c:spPr>
        <a:noFill/>
        <a:ln>
          <a:noFill/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2">
          <a:lumMod val="2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43</xdr:row>
      <xdr:rowOff>12700</xdr:rowOff>
    </xdr:from>
    <xdr:to>
      <xdr:col>11</xdr:col>
      <xdr:colOff>0</xdr:colOff>
      <xdr:row>78</xdr:row>
      <xdr:rowOff>138800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4406362E-F1A3-CA48-9F6B-57DD9DA964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508000</xdr:colOff>
      <xdr:row>0</xdr:row>
      <xdr:rowOff>180531</xdr:rowOff>
    </xdr:from>
    <xdr:to>
      <xdr:col>5</xdr:col>
      <xdr:colOff>165100</xdr:colOff>
      <xdr:row>3</xdr:row>
      <xdr:rowOff>277275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794CB653-32D4-4E45-827B-D81A20FA2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flipH="1">
          <a:off x="3746500" y="180531"/>
          <a:ext cx="1117600" cy="1049244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0.06941</cdr:x>
      <cdr:y>0.04711</cdr:y>
    </cdr:from>
    <cdr:to>
      <cdr:x>0.1551</cdr:x>
      <cdr:y>0.14133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30528881-6BA9-0148-BAE8-808B94C4C970}"/>
            </a:ext>
          </a:extLst>
        </cdr:cNvPr>
        <cdr:cNvSpPr txBox="1"/>
      </cdr:nvSpPr>
      <cdr:spPr>
        <a:xfrm xmlns:a="http://schemas.openxmlformats.org/drawingml/2006/main">
          <a:off x="514350" y="279400"/>
          <a:ext cx="635000" cy="55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0.45394</cdr:x>
      <cdr:y>0.01328</cdr:y>
    </cdr:from>
    <cdr:to>
      <cdr:x>0.51735</cdr:x>
      <cdr:y>0.08874</cdr:y>
    </cdr:to>
    <cdr:sp macro="" textlink="">
      <cdr:nvSpPr>
        <cdr:cNvPr id="3" name="Textfeld 2">
          <a:extLst xmlns:a="http://schemas.openxmlformats.org/drawingml/2006/main">
            <a:ext uri="{FF2B5EF4-FFF2-40B4-BE49-F238E27FC236}">
              <a16:creationId xmlns:a16="http://schemas.microsoft.com/office/drawing/2014/main" id="{BCFC4EAD-C8FD-9048-8C86-F8B9D1FE6651}"/>
            </a:ext>
          </a:extLst>
        </cdr:cNvPr>
        <cdr:cNvSpPr txBox="1"/>
      </cdr:nvSpPr>
      <cdr:spPr>
        <a:xfrm xmlns:a="http://schemas.openxmlformats.org/drawingml/2006/main">
          <a:off x="3649277" y="92584"/>
          <a:ext cx="509759" cy="5260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0.46184</cdr:x>
      <cdr:y>0.88003</cdr:y>
    </cdr:from>
    <cdr:to>
      <cdr:x>0.52525</cdr:x>
      <cdr:y>0.9555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FC5A4997-8F3B-4F42-8D4C-0C2E6BBBC5E7}"/>
            </a:ext>
          </a:extLst>
        </cdr:cNvPr>
        <cdr:cNvSpPr txBox="1"/>
      </cdr:nvSpPr>
      <cdr:spPr>
        <a:xfrm xmlns:a="http://schemas.openxmlformats.org/drawingml/2006/main">
          <a:off x="3712739" y="6135055"/>
          <a:ext cx="509759" cy="5261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0.04116</cdr:x>
      <cdr:y>0.45254</cdr:y>
    </cdr:from>
    <cdr:to>
      <cdr:x>0.10457</cdr:x>
      <cdr:y>0.528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FC5A4997-8F3B-4F42-8D4C-0C2E6BBBC5E7}"/>
            </a:ext>
          </a:extLst>
        </cdr:cNvPr>
        <cdr:cNvSpPr txBox="1"/>
      </cdr:nvSpPr>
      <cdr:spPr>
        <a:xfrm xmlns:a="http://schemas.openxmlformats.org/drawingml/2006/main">
          <a:off x="330884" y="3154813"/>
          <a:ext cx="509759" cy="526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0.87948</cdr:x>
      <cdr:y>0.45406</cdr:y>
    </cdr:from>
    <cdr:to>
      <cdr:x>0.94032</cdr:x>
      <cdr:y>0.53212</cdr:y>
    </cdr:to>
    <cdr:sp macro="" textlink="">
      <cdr:nvSpPr>
        <cdr:cNvPr id="6" name="Textfeld 1">
          <a:extLst xmlns:a="http://schemas.openxmlformats.org/drawingml/2006/main">
            <a:ext uri="{FF2B5EF4-FFF2-40B4-BE49-F238E27FC236}">
              <a16:creationId xmlns:a16="http://schemas.microsoft.com/office/drawing/2014/main" id="{FC5A4997-8F3B-4F42-8D4C-0C2E6BBBC5E7}"/>
            </a:ext>
          </a:extLst>
        </cdr:cNvPr>
        <cdr:cNvSpPr txBox="1"/>
      </cdr:nvSpPr>
      <cdr:spPr>
        <a:xfrm xmlns:a="http://schemas.openxmlformats.org/drawingml/2006/main">
          <a:off x="7070223" y="3165411"/>
          <a:ext cx="489099" cy="5441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E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801"/>
  <sheetViews>
    <sheetView showGridLines="0" showRowColHeaders="0" tabSelected="1" zoomScaleNormal="100" workbookViewId="0">
      <selection activeCell="C13" sqref="C13"/>
    </sheetView>
  </sheetViews>
  <sheetFormatPr baseColWidth="10" defaultColWidth="10.83203125" defaultRowHeight="15"/>
  <cols>
    <col min="1" max="1" width="4.83203125" style="2" customWidth="1"/>
    <col min="2" max="2" width="37.6640625" style="1" customWidth="1"/>
    <col min="3" max="3" width="8.33203125" style="2" customWidth="1"/>
    <col min="4" max="4" width="6.83203125" style="2" bestFit="1" customWidth="1"/>
    <col min="5" max="5" width="4" style="2" customWidth="1"/>
    <col min="6" max="6" width="4.6640625" style="2" customWidth="1"/>
    <col min="7" max="7" width="13.33203125" style="1" customWidth="1"/>
    <col min="8" max="8" width="8.6640625" style="1" customWidth="1"/>
    <col min="9" max="9" width="7.83203125" style="1" customWidth="1"/>
    <col min="10" max="10" width="8.5" style="1" customWidth="1"/>
    <col min="11" max="11" width="5.6640625" style="1" bestFit="1" customWidth="1"/>
    <col min="12" max="12" width="4.83203125" style="1" customWidth="1"/>
    <col min="13" max="15" width="10.83203125" style="1" hidden="1" customWidth="1"/>
    <col min="16" max="16" width="4.83203125" style="1" hidden="1" customWidth="1"/>
    <col min="17" max="22" width="10.83203125" style="1" hidden="1" customWidth="1"/>
    <col min="23" max="23" width="4.83203125" style="1" hidden="1" customWidth="1"/>
    <col min="24" max="30" width="10.83203125" style="1" hidden="1" customWidth="1"/>
    <col min="31" max="16384" width="10.83203125" style="2"/>
  </cols>
  <sheetData>
    <row r="1" spans="1:30">
      <c r="A1" s="4"/>
      <c r="B1" s="6"/>
      <c r="C1" s="4"/>
      <c r="D1" s="4"/>
      <c r="E1" s="4"/>
      <c r="F1" s="4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ht="30" customHeight="1">
      <c r="A2" s="4"/>
      <c r="B2" s="36" t="s">
        <v>9</v>
      </c>
      <c r="C2" s="9"/>
      <c r="D2" s="10"/>
      <c r="E2" s="11"/>
      <c r="F2" s="11"/>
      <c r="H2" s="35"/>
      <c r="I2" s="49"/>
      <c r="J2" s="166"/>
      <c r="K2" s="239" t="s">
        <v>83</v>
      </c>
      <c r="L2" s="166"/>
      <c r="M2" s="12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spans="1:30" ht="30" customHeight="1">
      <c r="A3" s="4"/>
      <c r="B3" s="36"/>
      <c r="C3" s="9"/>
      <c r="D3" s="10"/>
      <c r="E3" s="11"/>
      <c r="F3" s="11"/>
      <c r="G3" s="35"/>
      <c r="H3" s="35"/>
      <c r="I3" s="49"/>
      <c r="J3" s="166"/>
      <c r="K3" s="166"/>
      <c r="L3" s="166"/>
      <c r="M3" s="12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0" ht="30" customHeight="1">
      <c r="A4" s="4"/>
      <c r="B4" s="36"/>
      <c r="C4" s="9"/>
      <c r="D4" s="10"/>
      <c r="E4" s="11"/>
      <c r="F4" s="11"/>
      <c r="G4" s="35"/>
      <c r="H4" s="35"/>
      <c r="I4" s="49"/>
      <c r="J4" s="166"/>
      <c r="K4" s="166"/>
      <c r="L4" s="166"/>
      <c r="M4" s="12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</row>
    <row r="5" spans="1:30" ht="20" customHeight="1" thickBot="1">
      <c r="A5" s="4"/>
      <c r="B5" s="23" t="s">
        <v>6</v>
      </c>
      <c r="C5" s="9"/>
      <c r="D5" s="10"/>
      <c r="E5" s="11"/>
      <c r="F5" s="11"/>
      <c r="G5" s="26"/>
      <c r="H5" s="35"/>
      <c r="I5" s="35"/>
      <c r="K5" s="12"/>
      <c r="L5" s="12"/>
      <c r="M5" s="12"/>
      <c r="N5" s="60" t="s">
        <v>16</v>
      </c>
      <c r="O5" s="61"/>
      <c r="P5" s="6"/>
      <c r="Q5" s="58" t="s">
        <v>15</v>
      </c>
      <c r="R5" s="59"/>
      <c r="S5" s="59"/>
      <c r="T5" s="59"/>
      <c r="U5" s="59"/>
      <c r="V5" s="59"/>
      <c r="X5" s="60" t="s">
        <v>65</v>
      </c>
      <c r="Y5" s="6"/>
      <c r="Z5" s="6"/>
      <c r="AA5" s="6"/>
      <c r="AB5" s="6"/>
      <c r="AC5" s="6"/>
    </row>
    <row r="6" spans="1:30" ht="20" customHeight="1" thickBot="1">
      <c r="A6" s="4"/>
      <c r="B6" s="108"/>
      <c r="C6" s="111" t="s">
        <v>10</v>
      </c>
      <c r="D6" s="235">
        <v>2</v>
      </c>
      <c r="E6" s="114" t="s">
        <v>3</v>
      </c>
      <c r="F6" s="11"/>
      <c r="G6" s="43" t="str">
        <f>IF(D6&gt;6,"maximal 6 Meter!","")</f>
        <v/>
      </c>
      <c r="K6" s="12"/>
      <c r="L6" s="12"/>
      <c r="M6" s="12"/>
      <c r="N6" s="144" t="s">
        <v>1</v>
      </c>
      <c r="O6" s="145" t="s">
        <v>19</v>
      </c>
      <c r="Q6" s="62"/>
      <c r="R6" s="63"/>
      <c r="S6" s="64" t="s">
        <v>17</v>
      </c>
      <c r="T6" s="65"/>
      <c r="U6" s="64" t="s">
        <v>18</v>
      </c>
      <c r="V6" s="65"/>
      <c r="X6" s="210" t="s">
        <v>64</v>
      </c>
      <c r="Y6" s="120" t="s">
        <v>59</v>
      </c>
      <c r="Z6" s="120" t="s">
        <v>60</v>
      </c>
      <c r="AA6" s="131" t="s">
        <v>61</v>
      </c>
      <c r="AB6" s="120" t="s">
        <v>62</v>
      </c>
      <c r="AC6" s="121" t="s">
        <v>63</v>
      </c>
    </row>
    <row r="7" spans="1:30" ht="20" customHeight="1">
      <c r="A7" s="4"/>
      <c r="B7" s="109"/>
      <c r="C7" s="112" t="s">
        <v>11</v>
      </c>
      <c r="D7" s="253" t="s">
        <v>12</v>
      </c>
      <c r="E7" s="254"/>
      <c r="F7" s="11"/>
      <c r="G7" s="43"/>
      <c r="J7" s="55"/>
      <c r="K7" s="53"/>
      <c r="L7" s="53"/>
      <c r="M7" s="12"/>
      <c r="N7" s="138">
        <v>1</v>
      </c>
      <c r="O7" s="139">
        <v>0.3</v>
      </c>
      <c r="P7" s="6"/>
      <c r="Q7" s="67"/>
      <c r="R7" s="68" t="s">
        <v>20</v>
      </c>
      <c r="S7" s="69">
        <f>C12+D12/60</f>
        <v>57.4</v>
      </c>
      <c r="T7" s="70"/>
      <c r="U7" s="69">
        <f>C38+D38/60</f>
        <v>52.203833333333336</v>
      </c>
      <c r="V7" s="70"/>
      <c r="X7" s="129">
        <f>latrange</f>
        <v>10</v>
      </c>
      <c r="Y7" s="122">
        <f>RADIANS($C$37+$D$37/60)+RADIANS(X7/60)</f>
        <v>0.72082098107365811</v>
      </c>
      <c r="Z7" s="211">
        <f t="shared" ref="Z7:Z27" si="0">IFERROR(ACOS((SIN(h_)-SIN(d_)*SIN(Y7))/COS(d_)/COS(Y7)),#N/A)</f>
        <v>0.37135879360448687</v>
      </c>
      <c r="AA7" s="132">
        <f t="shared" ref="AA7:AA27" si="1">IF(dir ="E",Grt_+Z7,IF(dir ="W",Grt_-Z7,#N/A))</f>
        <v>6.1638723626685215</v>
      </c>
      <c r="AB7" s="123">
        <f t="shared" ref="AB7:AB27" si="2">DEGREES(IF(AA7&gt;3*PI(),2*PI(),0)+IF(AA7&lt;PI(),-AA7,2*PI()-AA7))</f>
        <v>6.8361281617625931</v>
      </c>
      <c r="AC7" s="124">
        <f t="shared" ref="AC7:AC27" si="3">DEGREES(Y7)</f>
        <v>41.300000000000004</v>
      </c>
    </row>
    <row r="8" spans="1:30" ht="20" customHeight="1" thickBot="1">
      <c r="A8" s="4"/>
      <c r="B8" s="110"/>
      <c r="C8" s="113" t="s">
        <v>58</v>
      </c>
      <c r="D8" s="255">
        <v>-1.2</v>
      </c>
      <c r="E8" s="256"/>
      <c r="F8" s="11"/>
      <c r="G8" s="43"/>
      <c r="J8" s="55"/>
      <c r="K8" s="53"/>
      <c r="L8" s="53"/>
      <c r="M8" s="12"/>
      <c r="N8" s="140">
        <v>2</v>
      </c>
      <c r="O8" s="141">
        <v>0.2</v>
      </c>
      <c r="P8" s="6"/>
      <c r="Q8" s="71"/>
      <c r="R8" s="72" t="s">
        <v>21</v>
      </c>
      <c r="S8" s="73">
        <f>16-(55*TAN(RADIANS(90-S7))/60-55/1000*(TAN(RADIANS(90-S7)))^3/60+1.777*SQRT(D6))</f>
        <v>12.900949475042804</v>
      </c>
      <c r="T8" s="74"/>
      <c r="U8" s="73">
        <f>16-(55*TAN(RADIANS(90-U7))/60-55/1000*(TAN(RADIANS(90-U7)))^3/60+1.777*SQRT(D30))</f>
        <v>12.776428812094661</v>
      </c>
      <c r="V8" s="74"/>
      <c r="X8" s="130">
        <f t="shared" ref="X8:X27" si="4">X7-latrange/10</f>
        <v>9</v>
      </c>
      <c r="Y8" s="118">
        <f t="shared" ref="Y8" si="5">RADIANS($C$37+$D$37/60)+RADIANS(X8/60)</f>
        <v>0.72053009286499237</v>
      </c>
      <c r="Z8" s="212">
        <f t="shared" si="0"/>
        <v>0.37189114774176524</v>
      </c>
      <c r="AA8" s="133">
        <f t="shared" si="1"/>
        <v>6.1644047168057998</v>
      </c>
      <c r="AB8" s="119">
        <f t="shared" si="2"/>
        <v>6.8056265164902143</v>
      </c>
      <c r="AC8" s="125">
        <f t="shared" si="3"/>
        <v>41.283333333333331</v>
      </c>
    </row>
    <row r="9" spans="1:30" ht="20" customHeight="1">
      <c r="A9" s="4"/>
      <c r="C9" s="9"/>
      <c r="D9" s="10"/>
      <c r="E9" s="11"/>
      <c r="F9" s="11"/>
      <c r="G9" s="19"/>
      <c r="H9" s="16"/>
      <c r="I9" s="16"/>
      <c r="J9" s="16"/>
      <c r="K9" s="16"/>
      <c r="L9" s="16"/>
      <c r="M9" s="12"/>
      <c r="N9" s="140">
        <v>3</v>
      </c>
      <c r="O9" s="141">
        <v>0.1</v>
      </c>
      <c r="P9" s="6"/>
      <c r="Q9" s="71"/>
      <c r="R9" s="72" t="s">
        <v>22</v>
      </c>
      <c r="S9" s="75">
        <f>IF(D7="U",DGET(N6:O18,2,O19:O20),IF(D7="O",-(32+DGET(N6:O18,2,O19:O20)),#N/A))</f>
        <v>-0.2</v>
      </c>
      <c r="T9" s="74"/>
      <c r="U9" s="75">
        <f>IF(D31="U",DGET(N6:O18,2,O21:O22),IF(D31="O",-(32+DGET(N6:O18,2,O21:O22)),#N/A))</f>
        <v>-0.2</v>
      </c>
      <c r="V9" s="74"/>
      <c r="X9" s="130">
        <f t="shared" si="4"/>
        <v>8</v>
      </c>
      <c r="Y9" s="118">
        <f>RADIANS($C$37+$D$37/60)+RADIANS(X9/60)</f>
        <v>0.72023920465632674</v>
      </c>
      <c r="Z9" s="212">
        <f t="shared" si="0"/>
        <v>0.37242225699668507</v>
      </c>
      <c r="AA9" s="133">
        <f t="shared" si="1"/>
        <v>6.1649358260607201</v>
      </c>
      <c r="AB9" s="119">
        <f t="shared" si="2"/>
        <v>6.7751961977229449</v>
      </c>
      <c r="AC9" s="125">
        <f t="shared" si="3"/>
        <v>41.266666666666673</v>
      </c>
    </row>
    <row r="10" spans="1:30" ht="20" customHeight="1">
      <c r="A10" s="4"/>
      <c r="B10" s="20" t="s">
        <v>7</v>
      </c>
      <c r="C10" s="260">
        <v>45534</v>
      </c>
      <c r="D10" s="261"/>
      <c r="E10" s="262"/>
      <c r="F10" s="13"/>
      <c r="G10" s="14"/>
      <c r="H10" s="21"/>
      <c r="I10" s="167"/>
      <c r="J10" s="168"/>
      <c r="K10" s="169"/>
      <c r="L10" s="169"/>
      <c r="M10" s="12"/>
      <c r="N10" s="140">
        <v>4</v>
      </c>
      <c r="O10" s="141">
        <v>0</v>
      </c>
      <c r="P10" s="6"/>
      <c r="Q10" s="71"/>
      <c r="R10" s="72" t="s">
        <v>23</v>
      </c>
      <c r="S10" s="75">
        <f>D8</f>
        <v>-1.2</v>
      </c>
      <c r="T10" s="74"/>
      <c r="U10" s="75">
        <f>D32</f>
        <v>-1.2</v>
      </c>
      <c r="V10" s="74"/>
      <c r="X10" s="130">
        <f t="shared" si="4"/>
        <v>7</v>
      </c>
      <c r="Y10" s="118">
        <f t="shared" ref="Y10:Y26" si="6">RADIANS($C$37+$D$37/60)+RADIANS(X10/60)</f>
        <v>0.719948316447661</v>
      </c>
      <c r="Z10" s="212">
        <f t="shared" si="0"/>
        <v>0.37295212707655279</v>
      </c>
      <c r="AA10" s="133">
        <f t="shared" si="1"/>
        <v>6.1654656961405871</v>
      </c>
      <c r="AB10" s="119">
        <f t="shared" si="2"/>
        <v>6.7448368784563035</v>
      </c>
      <c r="AC10" s="125">
        <f t="shared" si="3"/>
        <v>41.250000000000007</v>
      </c>
    </row>
    <row r="11" spans="1:30" ht="20" customHeight="1" thickBot="1">
      <c r="A11" s="4"/>
      <c r="B11" s="20" t="s">
        <v>81</v>
      </c>
      <c r="C11" s="257">
        <v>0.50347222222222221</v>
      </c>
      <c r="D11" s="258"/>
      <c r="E11" s="259"/>
      <c r="F11" s="14"/>
      <c r="G11" s="14"/>
      <c r="H11" s="21"/>
      <c r="I11" s="167"/>
      <c r="J11" s="168"/>
      <c r="K11" s="169"/>
      <c r="L11" s="169"/>
      <c r="M11" s="12"/>
      <c r="N11" s="140">
        <v>5</v>
      </c>
      <c r="O11" s="141">
        <v>-0.2</v>
      </c>
      <c r="P11" s="6"/>
      <c r="Q11" s="71"/>
      <c r="R11" s="72" t="s">
        <v>24</v>
      </c>
      <c r="S11" s="76">
        <f>S7+(S8+S9+S10)/60</f>
        <v>57.591682491250715</v>
      </c>
      <c r="T11" s="77"/>
      <c r="U11" s="76">
        <f>U7+(U8+U9+U10)/60</f>
        <v>52.393440480201583</v>
      </c>
      <c r="V11" s="77"/>
      <c r="X11" s="130">
        <f t="shared" si="4"/>
        <v>6</v>
      </c>
      <c r="Y11" s="118">
        <f t="shared" si="6"/>
        <v>0.71965742823899526</v>
      </c>
      <c r="Z11" s="212">
        <f t="shared" si="0"/>
        <v>0.37348076364342009</v>
      </c>
      <c r="AA11" s="133">
        <f t="shared" si="1"/>
        <v>6.1659943327074549</v>
      </c>
      <c r="AB11" s="119">
        <f t="shared" si="2"/>
        <v>6.7145482342784959</v>
      </c>
      <c r="AC11" s="125">
        <f t="shared" si="3"/>
        <v>41.233333333333334</v>
      </c>
    </row>
    <row r="12" spans="1:30" ht="20" customHeight="1" thickBot="1">
      <c r="A12" s="4"/>
      <c r="B12" s="20" t="s">
        <v>67</v>
      </c>
      <c r="C12" s="103">
        <v>57</v>
      </c>
      <c r="D12" s="263">
        <v>24</v>
      </c>
      <c r="E12" s="264"/>
      <c r="F12" s="14"/>
      <c r="G12" s="172"/>
      <c r="H12" s="151" t="s">
        <v>68</v>
      </c>
      <c r="I12" s="152">
        <f>ABS(ROUNDDOWN(J13,0))</f>
        <v>41</v>
      </c>
      <c r="J12" s="153">
        <f>(ABS(J13)-I12)*60</f>
        <v>7.1883484054392</v>
      </c>
      <c r="K12" s="154" t="str">
        <f>IF(J13&gt;0,"N","S")</f>
        <v>N</v>
      </c>
      <c r="L12" s="236"/>
      <c r="M12" s="12"/>
      <c r="N12" s="140">
        <v>6</v>
      </c>
      <c r="O12" s="141">
        <v>-0.2</v>
      </c>
      <c r="P12" s="6"/>
      <c r="Q12" s="71"/>
      <c r="R12" s="72" t="s">
        <v>25</v>
      </c>
      <c r="S12" s="78">
        <f>INT(S11)</f>
        <v>57</v>
      </c>
      <c r="T12" s="79">
        <f>(S11-S12)*60</f>
        <v>35.500949475042916</v>
      </c>
      <c r="U12" s="78">
        <f>INT(U11)</f>
        <v>52</v>
      </c>
      <c r="V12" s="79">
        <f>(U11-U12)*60</f>
        <v>23.606428812095004</v>
      </c>
      <c r="X12" s="130">
        <f t="shared" si="4"/>
        <v>5</v>
      </c>
      <c r="Y12" s="118">
        <f t="shared" si="6"/>
        <v>0.71936654003032952</v>
      </c>
      <c r="Z12" s="212">
        <f t="shared" si="0"/>
        <v>0.37400817231459405</v>
      </c>
      <c r="AA12" s="133">
        <f t="shared" si="1"/>
        <v>6.1665217413786291</v>
      </c>
      <c r="AB12" s="119">
        <f t="shared" si="2"/>
        <v>6.6843299433416128</v>
      </c>
      <c r="AC12" s="125">
        <f t="shared" si="3"/>
        <v>41.216666666666669</v>
      </c>
    </row>
    <row r="13" spans="1:30" ht="20" customHeight="1" thickBot="1">
      <c r="A13" s="4"/>
      <c r="B13" s="135" t="s">
        <v>82</v>
      </c>
      <c r="C13" s="42" t="s">
        <v>66</v>
      </c>
      <c r="D13" s="15"/>
      <c r="E13" s="15"/>
      <c r="F13" s="14"/>
      <c r="G13" s="14"/>
      <c r="H13" s="14"/>
      <c r="I13" s="14"/>
      <c r="J13" s="165">
        <f>IF(C13="N",S11-90-R37,IF(C13="S",90-S11+R37,"falsch"))</f>
        <v>41.11980580675732</v>
      </c>
      <c r="K13" s="14"/>
      <c r="L13" s="14"/>
      <c r="M13" s="12"/>
      <c r="N13" s="140">
        <v>7</v>
      </c>
      <c r="O13" s="141">
        <v>-0.2</v>
      </c>
      <c r="P13" s="6"/>
      <c r="Q13" s="80"/>
      <c r="R13" s="81" t="s">
        <v>26</v>
      </c>
      <c r="S13" s="82">
        <f>RADIANS(S11)</f>
        <v>1.0051644812354954</v>
      </c>
      <c r="T13" s="83" t="s">
        <v>27</v>
      </c>
      <c r="U13" s="82">
        <f>RADIANS(U11)</f>
        <v>0.91443804282719654</v>
      </c>
      <c r="V13" s="83" t="s">
        <v>28</v>
      </c>
      <c r="X13" s="130">
        <f t="shared" si="4"/>
        <v>4</v>
      </c>
      <c r="Y13" s="118">
        <f t="shared" si="6"/>
        <v>0.71907565182166377</v>
      </c>
      <c r="Z13" s="212">
        <f t="shared" si="0"/>
        <v>0.37453435866313511</v>
      </c>
      <c r="AA13" s="133">
        <f t="shared" si="1"/>
        <v>6.1670479277271699</v>
      </c>
      <c r="AB13" s="119">
        <f t="shared" si="2"/>
        <v>6.654181686332822</v>
      </c>
      <c r="AC13" s="125">
        <f t="shared" si="3"/>
        <v>41.2</v>
      </c>
    </row>
    <row r="14" spans="1:30" ht="20" customHeight="1" thickBot="1">
      <c r="A14" s="4"/>
      <c r="B14" s="229"/>
      <c r="C14" s="230"/>
      <c r="D14" s="230"/>
      <c r="E14" s="230"/>
      <c r="F14" s="231"/>
      <c r="G14" s="231"/>
      <c r="H14" s="232"/>
      <c r="I14" s="233"/>
      <c r="J14" s="234"/>
      <c r="K14" s="229"/>
      <c r="L14" s="6"/>
      <c r="M14" s="14"/>
      <c r="N14" s="140">
        <v>8</v>
      </c>
      <c r="O14" s="141">
        <v>-0.2</v>
      </c>
      <c r="P14" s="6"/>
      <c r="Q14" s="66"/>
      <c r="R14" s="66"/>
      <c r="S14" s="66"/>
      <c r="T14" s="84"/>
      <c r="U14" s="85"/>
      <c r="V14" s="86"/>
      <c r="X14" s="130">
        <f t="shared" si="4"/>
        <v>3</v>
      </c>
      <c r="Y14" s="118">
        <f t="shared" si="6"/>
        <v>0.71878476361299803</v>
      </c>
      <c r="Z14" s="212">
        <f t="shared" si="0"/>
        <v>0.37505932821835497</v>
      </c>
      <c r="AA14" s="133">
        <f t="shared" si="1"/>
        <v>6.1675728972823896</v>
      </c>
      <c r="AB14" s="119">
        <f t="shared" si="2"/>
        <v>6.6241031464458775</v>
      </c>
      <c r="AC14" s="125">
        <f t="shared" si="3"/>
        <v>41.18333333333333</v>
      </c>
    </row>
    <row r="15" spans="1:30" ht="20" customHeight="1" thickTop="1">
      <c r="A15" s="4"/>
      <c r="F15" s="17"/>
      <c r="G15" s="17"/>
      <c r="H15" s="17"/>
      <c r="I15" s="17"/>
      <c r="J15" s="17"/>
      <c r="K15" s="17"/>
      <c r="L15" s="17"/>
      <c r="M15" s="14"/>
      <c r="N15" s="140">
        <v>9</v>
      </c>
      <c r="O15" s="141">
        <v>-0.1</v>
      </c>
      <c r="P15" s="6"/>
      <c r="Q15" s="2"/>
      <c r="R15" s="2"/>
      <c r="S15" s="66"/>
      <c r="T15" s="2"/>
      <c r="U15" s="2"/>
      <c r="V15" s="2"/>
      <c r="X15" s="130">
        <f t="shared" si="4"/>
        <v>2</v>
      </c>
      <c r="Y15" s="118">
        <f t="shared" si="6"/>
        <v>0.7184938754043324</v>
      </c>
      <c r="Z15" s="212">
        <f t="shared" si="0"/>
        <v>0.37558308646629812</v>
      </c>
      <c r="AA15" s="133">
        <f t="shared" si="1"/>
        <v>6.1680966555303325</v>
      </c>
      <c r="AB15" s="119">
        <f t="shared" si="2"/>
        <v>6.5940940093535811</v>
      </c>
      <c r="AC15" s="125">
        <f t="shared" si="3"/>
        <v>41.166666666666671</v>
      </c>
    </row>
    <row r="16" spans="1:30" ht="20" customHeight="1">
      <c r="A16" s="4"/>
      <c r="B16" s="23" t="s">
        <v>70</v>
      </c>
      <c r="F16" s="17"/>
      <c r="G16" s="17"/>
      <c r="H16" s="17"/>
      <c r="I16" s="17"/>
      <c r="J16" s="17"/>
      <c r="K16" s="17"/>
      <c r="L16" s="17"/>
      <c r="M16" s="14"/>
      <c r="N16" s="140">
        <v>10</v>
      </c>
      <c r="O16" s="141">
        <v>0.1</v>
      </c>
      <c r="P16" s="6"/>
      <c r="Q16" s="2"/>
      <c r="R16" s="2"/>
      <c r="S16" s="59"/>
      <c r="T16" s="2"/>
      <c r="U16" s="2"/>
      <c r="V16" s="2"/>
      <c r="X16" s="130">
        <f t="shared" si="4"/>
        <v>1</v>
      </c>
      <c r="Y16" s="118">
        <f t="shared" si="6"/>
        <v>0.71820298719566666</v>
      </c>
      <c r="Z16" s="212">
        <f t="shared" si="0"/>
        <v>0.37610563885022685</v>
      </c>
      <c r="AA16" s="133">
        <f t="shared" si="1"/>
        <v>6.1686192079142614</v>
      </c>
      <c r="AB16" s="119">
        <f t="shared" si="2"/>
        <v>6.5641539631799519</v>
      </c>
      <c r="AC16" s="125">
        <f t="shared" si="3"/>
        <v>41.150000000000006</v>
      </c>
    </row>
    <row r="17" spans="1:30" ht="20" customHeight="1">
      <c r="A17" s="4"/>
      <c r="B17" s="137">
        <v>1</v>
      </c>
      <c r="C17" s="17"/>
      <c r="D17" s="17"/>
      <c r="E17" s="17"/>
      <c r="F17" s="17"/>
      <c r="G17" s="19"/>
      <c r="H17" s="19"/>
      <c r="I17" s="19"/>
      <c r="J17" s="19"/>
      <c r="K17" s="6"/>
      <c r="L17" s="6"/>
      <c r="M17" s="14"/>
      <c r="N17" s="140">
        <v>11</v>
      </c>
      <c r="O17" s="141">
        <v>0.2</v>
      </c>
      <c r="P17" s="54"/>
      <c r="Q17" s="2"/>
      <c r="R17" s="2"/>
      <c r="S17" s="66"/>
      <c r="T17" s="2"/>
      <c r="U17" s="2"/>
      <c r="V17" s="2"/>
      <c r="X17" s="220">
        <f t="shared" si="4"/>
        <v>0</v>
      </c>
      <c r="Y17" s="221">
        <f t="shared" si="6"/>
        <v>0.71791209898700092</v>
      </c>
      <c r="Z17" s="222">
        <f t="shared" si="0"/>
        <v>0.37662699077109307</v>
      </c>
      <c r="AA17" s="223">
        <f t="shared" si="1"/>
        <v>6.1691405598351281</v>
      </c>
      <c r="AB17" s="224">
        <f>DEGREES(IF(AA17&gt;3*PI(),2*PI(),0)+IF(AA17&lt;PI(),-AA17,2*PI()-AA17))</f>
        <v>6.5342826984732536</v>
      </c>
      <c r="AC17" s="225">
        <f t="shared" si="3"/>
        <v>41.133333333333333</v>
      </c>
    </row>
    <row r="18" spans="1:30" ht="20" customHeight="1" thickBot="1">
      <c r="A18" s="4"/>
      <c r="B18" s="20" t="s">
        <v>7</v>
      </c>
      <c r="C18" s="247">
        <f>dat</f>
        <v>45534</v>
      </c>
      <c r="D18" s="248"/>
      <c r="E18" s="249"/>
      <c r="F18" s="22"/>
      <c r="G18" s="21"/>
      <c r="H18" s="21"/>
      <c r="I18" s="116"/>
      <c r="J18" s="155"/>
      <c r="K18" s="107"/>
      <c r="L18" s="107"/>
      <c r="M18" s="14"/>
      <c r="N18" s="142">
        <v>12</v>
      </c>
      <c r="O18" s="143">
        <v>0.3</v>
      </c>
      <c r="P18" s="54"/>
      <c r="Q18" s="2"/>
      <c r="R18" s="2"/>
      <c r="S18" s="66"/>
      <c r="T18" s="2"/>
      <c r="U18" s="2"/>
      <c r="V18" s="2"/>
      <c r="X18" s="130">
        <f t="shared" si="4"/>
        <v>-1</v>
      </c>
      <c r="Y18" s="118">
        <f t="shared" si="6"/>
        <v>0.71762121077833518</v>
      </c>
      <c r="Z18" s="212">
        <f t="shared" si="0"/>
        <v>0.37714714758800083</v>
      </c>
      <c r="AA18" s="133">
        <f t="shared" si="1"/>
        <v>6.1696607166520359</v>
      </c>
      <c r="AB18" s="119">
        <f t="shared" si="2"/>
        <v>6.50447990817948</v>
      </c>
      <c r="AC18" s="125">
        <f t="shared" si="3"/>
        <v>41.116666666666667</v>
      </c>
    </row>
    <row r="19" spans="1:30" ht="20" customHeight="1" thickBot="1">
      <c r="A19" s="4"/>
      <c r="B19" s="57" t="s">
        <v>73</v>
      </c>
      <c r="C19" s="103">
        <v>55</v>
      </c>
      <c r="D19" s="105">
        <v>37.46</v>
      </c>
      <c r="E19" s="208"/>
      <c r="F19" s="22"/>
      <c r="G19" s="21"/>
      <c r="H19" s="21"/>
      <c r="I19" s="156"/>
      <c r="J19" s="157"/>
      <c r="K19" s="158"/>
      <c r="L19" s="158"/>
      <c r="M19" s="17"/>
      <c r="N19" s="242" t="s">
        <v>37</v>
      </c>
      <c r="O19" s="92" t="s">
        <v>1</v>
      </c>
      <c r="P19" s="54"/>
      <c r="Q19" s="88" t="s">
        <v>30</v>
      </c>
      <c r="R19" s="66"/>
      <c r="S19" s="66"/>
      <c r="T19" s="66"/>
      <c r="V19" s="2"/>
      <c r="X19" s="130">
        <f t="shared" si="4"/>
        <v>-2</v>
      </c>
      <c r="Y19" s="118">
        <f t="shared" si="6"/>
        <v>0.71733032256966944</v>
      </c>
      <c r="Z19" s="212">
        <f t="shared" si="0"/>
        <v>0.37766611461866906</v>
      </c>
      <c r="AA19" s="133">
        <f t="shared" si="1"/>
        <v>6.1701796836827034</v>
      </c>
      <c r="AB19" s="119">
        <f t="shared" si="2"/>
        <v>6.4747452876157929</v>
      </c>
      <c r="AC19" s="125">
        <f t="shared" si="3"/>
        <v>41.1</v>
      </c>
    </row>
    <row r="20" spans="1:30" ht="20" customHeight="1" thickBot="1">
      <c r="A20" s="4"/>
      <c r="B20" s="57" t="s">
        <v>71</v>
      </c>
      <c r="C20" s="244">
        <v>0.44899305555555552</v>
      </c>
      <c r="D20" s="245"/>
      <c r="E20" s="246"/>
      <c r="F20" s="22"/>
      <c r="G20" s="173"/>
      <c r="H20" s="159" t="s">
        <v>4</v>
      </c>
      <c r="I20" s="240">
        <f>IF(COUNT(C20:E21)&lt;2,"0 ",IF(OR(C20&lt;C21,C20=C21),(C20+C21)/2,(C20+C21)/2+G22))</f>
        <v>0.48215856481481478</v>
      </c>
      <c r="J20" s="240"/>
      <c r="K20" s="241"/>
      <c r="L20" s="237"/>
      <c r="M20" s="17"/>
      <c r="N20" s="243"/>
      <c r="O20" s="93">
        <f>MONTH(dat)</f>
        <v>8</v>
      </c>
      <c r="P20" s="6"/>
      <c r="Q20" s="148" t="s">
        <v>31</v>
      </c>
      <c r="R20" s="149" t="s">
        <v>2</v>
      </c>
      <c r="S20" s="150" t="s">
        <v>79</v>
      </c>
      <c r="T20" s="150" t="s">
        <v>80</v>
      </c>
      <c r="U20" s="150" t="s">
        <v>78</v>
      </c>
      <c r="X20" s="130">
        <f t="shared" si="4"/>
        <v>-3</v>
      </c>
      <c r="Y20" s="118">
        <f t="shared" si="6"/>
        <v>0.71703943436100381</v>
      </c>
      <c r="Z20" s="212">
        <f t="shared" si="0"/>
        <v>0.37818389713988365</v>
      </c>
      <c r="AA20" s="133">
        <f t="shared" si="1"/>
        <v>6.1706974662039187</v>
      </c>
      <c r="AB20" s="119">
        <f t="shared" si="2"/>
        <v>6.445078534444515</v>
      </c>
      <c r="AC20" s="125">
        <f t="shared" si="3"/>
        <v>41.083333333333343</v>
      </c>
    </row>
    <row r="21" spans="1:30" ht="20" customHeight="1" thickBot="1">
      <c r="A21" s="4"/>
      <c r="B21" s="57" t="s">
        <v>72</v>
      </c>
      <c r="C21" s="244">
        <v>0.5153240740740741</v>
      </c>
      <c r="D21" s="245"/>
      <c r="E21" s="246"/>
      <c r="F21" s="22"/>
      <c r="G21" s="174"/>
      <c r="H21" s="160" t="s">
        <v>14</v>
      </c>
      <c r="I21" s="161">
        <f>IF(COUNT(C20:E21)&lt;2," ",INT(ABS(J22)))</f>
        <v>6</v>
      </c>
      <c r="J21" s="162">
        <f>IF(COUNT(C20:E21)&lt;2," ",(ABS(J22)-I21)*60)</f>
        <v>32.651279448358714</v>
      </c>
      <c r="K21" s="163" t="str">
        <f>IF(COUNT(C20:E21)&lt;2," ",IF(J22&gt;0,"E","W"))</f>
        <v>E</v>
      </c>
      <c r="L21" s="238"/>
      <c r="M21" s="17"/>
      <c r="N21" s="242" t="s">
        <v>37</v>
      </c>
      <c r="O21" s="92" t="s">
        <v>1</v>
      </c>
      <c r="P21" s="6"/>
      <c r="Q21" s="89" t="s">
        <v>34</v>
      </c>
      <c r="R21" s="90">
        <f>_xlfn.DAYS(dat,ref)+ot-0.5</f>
        <v>9008.0034722222226</v>
      </c>
      <c r="S21" s="91">
        <f>_xlfn.DAYS(noondat,ref)+noon1-0.5</f>
        <v>9007.9821585648151</v>
      </c>
      <c r="T21" s="91">
        <f>_xlfn.DAYS(noondat,ref)+noon2-0.5</f>
        <v>9007.5</v>
      </c>
      <c r="U21" s="91">
        <f>_xlfn.DAYS(dat_,ref)+ot_-0.5</f>
        <v>9007.9222569444446</v>
      </c>
      <c r="X21" s="130">
        <f t="shared" si="4"/>
        <v>-4</v>
      </c>
      <c r="Y21" s="118">
        <f t="shared" si="6"/>
        <v>0.71674854615233807</v>
      </c>
      <c r="Z21" s="212">
        <f t="shared" si="0"/>
        <v>0.37870050038794534</v>
      </c>
      <c r="AA21" s="133">
        <f t="shared" si="1"/>
        <v>6.1712140694519801</v>
      </c>
      <c r="AB21" s="119">
        <f t="shared" si="2"/>
        <v>6.4154793486478434</v>
      </c>
      <c r="AC21" s="125">
        <f t="shared" si="3"/>
        <v>41.06666666666667</v>
      </c>
    </row>
    <row r="22" spans="1:30" ht="20" customHeight="1" thickBot="1">
      <c r="A22" s="4"/>
      <c r="B22" s="136">
        <v>2</v>
      </c>
      <c r="C22" s="21"/>
      <c r="D22" s="21"/>
      <c r="E22" s="21"/>
      <c r="F22" s="22"/>
      <c r="G22" s="164">
        <v>0.5</v>
      </c>
      <c r="H22" s="215"/>
      <c r="I22" s="216"/>
      <c r="J22" s="217">
        <f>DEGREES(IF(S34&gt;3*PI(),2*PI(),0)+IF(S34&lt;PI(),-S34,2*PI()-S34))</f>
        <v>6.5441879908059786</v>
      </c>
      <c r="K22" s="218"/>
      <c r="L22" s="218"/>
      <c r="M22" s="17"/>
      <c r="N22" s="243"/>
      <c r="O22" s="93">
        <f>MONTH(dat_)</f>
        <v>8</v>
      </c>
      <c r="P22" s="6"/>
      <c r="Q22" s="184" t="s">
        <v>36</v>
      </c>
      <c r="R22" s="185">
        <f>_A1+_B1*_T1</f>
        <v>9159.1802380470945</v>
      </c>
      <c r="S22" s="186">
        <f>_A1+_B1*_T3</f>
        <v>9159.1592302974204</v>
      </c>
      <c r="T22" s="186">
        <f>_A1+_B1*_T4</f>
        <v>9158.6839919917857</v>
      </c>
      <c r="U22" s="186">
        <f>_A1+_B1*_T2</f>
        <v>9159.1001884247944</v>
      </c>
      <c r="W22" s="66"/>
      <c r="X22" s="130">
        <f t="shared" si="4"/>
        <v>-5</v>
      </c>
      <c r="Y22" s="118">
        <f t="shared" si="6"/>
        <v>0.71645765794367233</v>
      </c>
      <c r="Z22" s="212">
        <f t="shared" si="0"/>
        <v>0.37921592955910888</v>
      </c>
      <c r="AA22" s="133">
        <f t="shared" si="1"/>
        <v>6.1717294986231437</v>
      </c>
      <c r="AB22" s="119">
        <f t="shared" si="2"/>
        <v>6.3859474325022463</v>
      </c>
      <c r="AC22" s="125">
        <f t="shared" si="3"/>
        <v>41.050000000000004</v>
      </c>
    </row>
    <row r="23" spans="1:30" ht="20" customHeight="1" thickBot="1">
      <c r="A23" s="4"/>
      <c r="B23" s="57" t="s">
        <v>73</v>
      </c>
      <c r="C23" s="103">
        <v>55</v>
      </c>
      <c r="D23" s="105">
        <v>12.58</v>
      </c>
      <c r="E23" s="208"/>
      <c r="F23" s="22"/>
      <c r="J23" s="52"/>
      <c r="M23" s="17"/>
      <c r="N23" s="6"/>
      <c r="O23" s="6"/>
      <c r="P23" s="6"/>
      <c r="Q23" s="184" t="s">
        <v>39</v>
      </c>
      <c r="R23" s="187">
        <f>R22*PI()/180</f>
        <v>159.8578519375198</v>
      </c>
      <c r="S23" s="188">
        <f>S22*PI()/180</f>
        <v>159.85748528311956</v>
      </c>
      <c r="T23" s="188">
        <f>T22*PI()/180</f>
        <v>159.84919080995465</v>
      </c>
      <c r="U23" s="188">
        <f>U22*PI()/180</f>
        <v>159.85645480804567</v>
      </c>
      <c r="W23" s="66"/>
      <c r="X23" s="130">
        <f t="shared" si="4"/>
        <v>-6</v>
      </c>
      <c r="Y23" s="118">
        <f t="shared" si="6"/>
        <v>0.71616676973500659</v>
      </c>
      <c r="Z23" s="212">
        <f t="shared" si="0"/>
        <v>0.37973018981001538</v>
      </c>
      <c r="AA23" s="133">
        <f t="shared" si="1"/>
        <v>6.1722437588740497</v>
      </c>
      <c r="AB23" s="119">
        <f t="shared" si="2"/>
        <v>6.3564824905539901</v>
      </c>
      <c r="AC23" s="125">
        <f t="shared" si="3"/>
        <v>41.033333333333339</v>
      </c>
    </row>
    <row r="24" spans="1:30" ht="20" customHeight="1">
      <c r="A24" s="4"/>
      <c r="B24" s="57" t="s">
        <v>71</v>
      </c>
      <c r="C24" s="244">
        <v>0.45443287037037039</v>
      </c>
      <c r="D24" s="245"/>
      <c r="E24" s="246"/>
      <c r="F24" s="22"/>
      <c r="G24" s="173"/>
      <c r="H24" s="159" t="s">
        <v>4</v>
      </c>
      <c r="I24" s="240" t="str">
        <f>IF(COUNT(C24:E25)&lt;2,"0 ",IF(OR(C24&lt;C25,C24=C25),(C24+C25)/2,(C24+C25)/2+G26))</f>
        <v xml:space="preserve">0 </v>
      </c>
      <c r="J24" s="240"/>
      <c r="K24" s="241"/>
      <c r="L24" s="237"/>
      <c r="M24" s="17"/>
      <c r="N24" s="6"/>
      <c r="O24" s="6"/>
      <c r="P24" s="6"/>
      <c r="Q24" s="184" t="s">
        <v>41</v>
      </c>
      <c r="R24" s="185">
        <f>_A2+_B2*_T1</f>
        <v>283.36399889307171</v>
      </c>
      <c r="S24" s="186">
        <f>_A2+_B2*_T3</f>
        <v>283.36399788985636</v>
      </c>
      <c r="T24" s="186">
        <f>_A2+_B2*_T4</f>
        <v>283.36397519507187</v>
      </c>
      <c r="U24" s="186">
        <f>_A2+_B2*_T2</f>
        <v>283.36399507033917</v>
      </c>
      <c r="X24" s="130">
        <f t="shared" si="4"/>
        <v>-7</v>
      </c>
      <c r="Y24" s="118">
        <f t="shared" si="6"/>
        <v>0.71587588152634085</v>
      </c>
      <c r="Z24" s="212">
        <f t="shared" si="0"/>
        <v>0.38024328625812442</v>
      </c>
      <c r="AA24" s="133">
        <f t="shared" si="1"/>
        <v>6.1727568553221595</v>
      </c>
      <c r="AB24" s="119">
        <f t="shared" si="2"/>
        <v>6.327084229594151</v>
      </c>
      <c r="AC24" s="125">
        <f t="shared" si="3"/>
        <v>41.016666666666666</v>
      </c>
    </row>
    <row r="25" spans="1:30" ht="20" customHeight="1" thickBot="1">
      <c r="A25" s="4"/>
      <c r="B25" s="57" t="s">
        <v>72</v>
      </c>
      <c r="C25" s="244"/>
      <c r="D25" s="245"/>
      <c r="E25" s="246"/>
      <c r="F25" s="22"/>
      <c r="G25" s="174"/>
      <c r="H25" s="160" t="s">
        <v>14</v>
      </c>
      <c r="I25" s="161" t="str">
        <f>IF(COUNT(C24:E25)&lt;2," ",INT(ABS(J26)))</f>
        <v xml:space="preserve"> </v>
      </c>
      <c r="J25" s="162" t="str">
        <f>IF(COUNT(C24:E25)&lt;2," ",(ABS(J26)-I25)*60)</f>
        <v xml:space="preserve"> </v>
      </c>
      <c r="K25" s="163" t="str">
        <f>IF(COUNT(C24:E25)&lt;2," ",IF(J26&gt;0,"E","W"))</f>
        <v xml:space="preserve"> </v>
      </c>
      <c r="L25" s="238"/>
      <c r="M25" s="17"/>
      <c r="N25" s="87" t="s">
        <v>29</v>
      </c>
      <c r="O25" s="66"/>
      <c r="P25" s="6"/>
      <c r="Q25" s="184" t="s">
        <v>42</v>
      </c>
      <c r="R25" s="187">
        <f>R24*PI()/180</f>
        <v>4.945634762301669</v>
      </c>
      <c r="S25" s="188">
        <f>S24*PI()/180</f>
        <v>4.9456347447922582</v>
      </c>
      <c r="T25" s="188">
        <f>T24*PI()/180</f>
        <v>4.9456343486935452</v>
      </c>
      <c r="U25" s="188">
        <f>U24*PI()/180</f>
        <v>4.9456346955823989</v>
      </c>
      <c r="X25" s="130">
        <f t="shared" si="4"/>
        <v>-8</v>
      </c>
      <c r="Y25" s="118">
        <f t="shared" si="6"/>
        <v>0.71558499331767511</v>
      </c>
      <c r="Z25" s="212">
        <f t="shared" si="0"/>
        <v>0.3807552239821328</v>
      </c>
      <c r="AA25" s="133">
        <f t="shared" si="1"/>
        <v>6.1732687930461676</v>
      </c>
      <c r="AB25" s="119">
        <f t="shared" si="2"/>
        <v>6.2977523586349511</v>
      </c>
      <c r="AC25" s="125">
        <f t="shared" si="3"/>
        <v>41</v>
      </c>
    </row>
    <row r="26" spans="1:30" ht="20" customHeight="1" thickBot="1">
      <c r="A26" s="4"/>
      <c r="B26" s="21"/>
      <c r="C26" s="21"/>
      <c r="D26" s="21"/>
      <c r="E26" s="21"/>
      <c r="F26" s="22"/>
      <c r="G26" s="164">
        <v>0.5</v>
      </c>
      <c r="H26" s="219"/>
      <c r="I26" s="216"/>
      <c r="J26" s="217">
        <f>DEGREES(IF(T34&gt;3*PI(),2*PI(),0)+IF(T34&lt;PI(),-T34,2*PI()-T34))+I26</f>
        <v>-179.84144949827294</v>
      </c>
      <c r="K26" s="218"/>
      <c r="L26" s="218"/>
      <c r="M26" s="17"/>
      <c r="N26" s="146" t="s">
        <v>31</v>
      </c>
      <c r="O26" s="147" t="s">
        <v>32</v>
      </c>
      <c r="P26" s="6"/>
      <c r="Q26" s="184" t="s">
        <v>44</v>
      </c>
      <c r="R26" s="187">
        <f>R23-R25</f>
        <v>154.91221717521813</v>
      </c>
      <c r="S26" s="188">
        <f>S23-S25</f>
        <v>154.91185053832731</v>
      </c>
      <c r="T26" s="188">
        <f>T23-T25</f>
        <v>154.9035564612611</v>
      </c>
      <c r="U26" s="188">
        <f>(U23-U25)</f>
        <v>154.91082011246328</v>
      </c>
      <c r="X26" s="130">
        <f t="shared" si="4"/>
        <v>-9</v>
      </c>
      <c r="Y26" s="118">
        <f t="shared" si="6"/>
        <v>0.71529410510900948</v>
      </c>
      <c r="Z26" s="212">
        <f t="shared" si="0"/>
        <v>0.38126600802239152</v>
      </c>
      <c r="AA26" s="133">
        <f t="shared" si="1"/>
        <v>6.1737795770864263</v>
      </c>
      <c r="AB26" s="119">
        <f t="shared" si="2"/>
        <v>6.2684865888854855</v>
      </c>
      <c r="AC26" s="125">
        <f t="shared" si="3"/>
        <v>40.983333333333341</v>
      </c>
    </row>
    <row r="27" spans="1:30" ht="20" customHeight="1" thickBot="1">
      <c r="A27" s="4"/>
      <c r="B27" s="229"/>
      <c r="C27" s="230"/>
      <c r="D27" s="230"/>
      <c r="E27" s="230"/>
      <c r="F27" s="231"/>
      <c r="G27" s="231"/>
      <c r="H27" s="232"/>
      <c r="I27" s="233"/>
      <c r="J27" s="234"/>
      <c r="K27" s="229"/>
      <c r="L27" s="6"/>
      <c r="M27" s="17"/>
      <c r="N27" s="181" t="s">
        <v>33</v>
      </c>
      <c r="O27" s="182">
        <f>280.4656</f>
        <v>280.46559999999999</v>
      </c>
      <c r="P27" s="6"/>
      <c r="Q27" s="184" t="s">
        <v>46</v>
      </c>
      <c r="R27" s="187">
        <f>_A3-_B3*_T1</f>
        <v>1.6698641720853297E-2</v>
      </c>
      <c r="S27" s="188">
        <f>_A3-_B3*_T3</f>
        <v>1.6698641745361818E-2</v>
      </c>
      <c r="T27" s="188">
        <f>_A3-_B3*_T4</f>
        <v>1.6698642299794664E-2</v>
      </c>
      <c r="U27" s="188">
        <f>_A3-_B3*_T2</f>
        <v>1.6698641814242531E-2</v>
      </c>
      <c r="X27" s="213">
        <f t="shared" si="4"/>
        <v>-10</v>
      </c>
      <c r="Y27" s="126">
        <f>RADIANS($C$37+$D$37/60)+RADIANS(X27/60)</f>
        <v>0.71500321690034374</v>
      </c>
      <c r="Z27" s="214">
        <f t="shared" si="0"/>
        <v>0.38177564338131842</v>
      </c>
      <c r="AA27" s="134">
        <f t="shared" si="1"/>
        <v>6.1742892124453528</v>
      </c>
      <c r="AB27" s="127">
        <f t="shared" si="2"/>
        <v>6.2392866337283648</v>
      </c>
      <c r="AC27" s="128">
        <f t="shared" si="3"/>
        <v>40.966666666666669</v>
      </c>
      <c r="AD27" s="117"/>
    </row>
    <row r="28" spans="1:30" ht="20" customHeight="1" thickTop="1">
      <c r="A28" s="4"/>
      <c r="B28" s="100"/>
      <c r="C28" s="106"/>
      <c r="D28" s="100"/>
      <c r="E28" s="100"/>
      <c r="F28" s="22"/>
      <c r="G28" s="107"/>
      <c r="H28" s="22"/>
      <c r="I28" s="22"/>
      <c r="J28" s="22"/>
      <c r="K28" s="6"/>
      <c r="L28" s="6"/>
      <c r="M28" s="17"/>
      <c r="N28" s="94" t="s">
        <v>35</v>
      </c>
      <c r="O28" s="183">
        <f>282.94</f>
        <v>282.94</v>
      </c>
      <c r="P28" s="6"/>
      <c r="Q28" s="184" t="s">
        <v>48</v>
      </c>
      <c r="R28" s="187">
        <f>(2*R27-R27^3/4)*SIN(R26)+5*R27^2/4*SIN(2*R26)+13*R27^3/12*SIN(3*R26)</f>
        <v>-2.7303690796623457E-2</v>
      </c>
      <c r="S28" s="188">
        <f>(2*S27-S27^3/4)*SIN(S26)+5*S27^2/4*SIN(2*S26)+13*S27^3/12*SIN(3*S26)</f>
        <v>-2.7296720840753921E-2</v>
      </c>
      <c r="T28" s="188">
        <f>(2*T27-T27^3/4)*SIN(T26)+5*T27^2/4*SIN(2*T26)+13*T27^3/12*SIN(3*T26)</f>
        <v>-2.7138102242516601E-2</v>
      </c>
      <c r="U28" s="188">
        <f>(2*U27-U27^3/4)*SIN(U26)+5*U27^2/4*SIN(2*U26)+13*U27^3/12*SIN(3*U26)</f>
        <v>-2.7277112963853718E-2</v>
      </c>
      <c r="W28" s="66"/>
      <c r="X28" s="175"/>
      <c r="Y28" s="175"/>
      <c r="Z28" s="175"/>
      <c r="AA28" s="175"/>
      <c r="AB28" s="176"/>
      <c r="AC28" s="175"/>
      <c r="AD28" s="6"/>
    </row>
    <row r="29" spans="1:30" ht="20" customHeight="1" thickBot="1">
      <c r="A29" s="4"/>
      <c r="B29" s="23" t="s">
        <v>69</v>
      </c>
      <c r="G29" s="39"/>
      <c r="H29" s="40"/>
      <c r="I29" s="40"/>
      <c r="J29" s="40"/>
      <c r="K29" s="6"/>
      <c r="L29" s="6"/>
      <c r="M29" s="17"/>
      <c r="N29" s="94" t="s">
        <v>38</v>
      </c>
      <c r="O29" s="183">
        <f>0.016709</f>
        <v>1.6709000000000002E-2</v>
      </c>
      <c r="P29" s="6"/>
      <c r="Q29" s="190" t="s">
        <v>36</v>
      </c>
      <c r="R29" s="187">
        <f>R23+R28</f>
        <v>159.83054824672317</v>
      </c>
      <c r="S29" s="188">
        <f>S23+S28</f>
        <v>159.83018856227881</v>
      </c>
      <c r="T29" s="188">
        <f>T23+T28</f>
        <v>159.82205270771215</v>
      </c>
      <c r="U29" s="188">
        <f>U23+U28</f>
        <v>159.82917769508182</v>
      </c>
    </row>
    <row r="30" spans="1:30" ht="20" customHeight="1">
      <c r="A30" s="4"/>
      <c r="B30" s="108"/>
      <c r="C30" s="111" t="s">
        <v>10</v>
      </c>
      <c r="D30" s="235">
        <f>D6</f>
        <v>2</v>
      </c>
      <c r="E30" s="114" t="s">
        <v>3</v>
      </c>
      <c r="G30" s="6"/>
      <c r="H30" s="6"/>
      <c r="I30" s="6"/>
      <c r="J30" s="6"/>
      <c r="K30" s="6"/>
      <c r="L30" s="6"/>
      <c r="M30" s="17"/>
      <c r="N30" s="94" t="s">
        <v>40</v>
      </c>
      <c r="O30" s="183">
        <f>23.4391667</f>
        <v>23.439166700000001</v>
      </c>
      <c r="P30" s="6"/>
      <c r="Q30" s="190" t="s">
        <v>46</v>
      </c>
      <c r="R30" s="185">
        <f>_A4-_B4*_T1</f>
        <v>23.435959195835657</v>
      </c>
      <c r="S30" s="186">
        <f>_A4-_B4*_T3</f>
        <v>23.435959203424868</v>
      </c>
      <c r="T30" s="186">
        <f>_A4-_B4*_T4</f>
        <v>23.435959375108375</v>
      </c>
      <c r="U30" s="186">
        <f>_A4-_B4*_T2</f>
        <v>23.435959224754203</v>
      </c>
    </row>
    <row r="31" spans="1:30" ht="20" customHeight="1">
      <c r="A31" s="4"/>
      <c r="B31" s="109"/>
      <c r="C31" s="112" t="s">
        <v>11</v>
      </c>
      <c r="D31" s="253" t="str">
        <f>D7</f>
        <v>U</v>
      </c>
      <c r="E31" s="254"/>
      <c r="F31" s="11"/>
      <c r="G31" s="6"/>
      <c r="H31" s="6"/>
      <c r="I31" s="6"/>
      <c r="J31" s="6"/>
      <c r="K31" s="6"/>
      <c r="L31" s="6"/>
      <c r="M31" s="17"/>
      <c r="N31" s="94"/>
      <c r="O31" s="95"/>
      <c r="P31" s="6"/>
      <c r="Q31" s="193" t="s">
        <v>51</v>
      </c>
      <c r="R31" s="194">
        <f>R30*PI()/180</f>
        <v>0.40903465133037475</v>
      </c>
      <c r="S31" s="195">
        <f>S30*PI()/180</f>
        <v>0.40903465146283147</v>
      </c>
      <c r="T31" s="195">
        <f>T30*PI()/180</f>
        <v>0.40903465445927395</v>
      </c>
      <c r="U31" s="195">
        <f>U30*PI()/180</f>
        <v>0.40903465183509863</v>
      </c>
    </row>
    <row r="32" spans="1:30" ht="20" customHeight="1" thickBot="1">
      <c r="A32" s="4"/>
      <c r="B32" s="110"/>
      <c r="C32" s="113" t="s">
        <v>58</v>
      </c>
      <c r="D32" s="255">
        <f>D8</f>
        <v>-1.2</v>
      </c>
      <c r="E32" s="256"/>
      <c r="F32" s="11"/>
      <c r="G32" s="6"/>
      <c r="H32" s="6"/>
      <c r="I32" s="6"/>
      <c r="J32" s="6"/>
      <c r="K32" s="6"/>
      <c r="L32" s="6"/>
      <c r="M32" s="6"/>
      <c r="N32" s="94" t="s">
        <v>43</v>
      </c>
      <c r="O32" s="189">
        <v>0.98564733744010957</v>
      </c>
      <c r="P32" s="6"/>
      <c r="Q32" s="196" t="s">
        <v>52</v>
      </c>
      <c r="R32" s="197">
        <f>ATAN(  (TAN(R23)-TAN(R29)*COS(R31))  /(1+TAN(R23)*TAN(R29)*COS(R31)))</f>
        <v>-2.0876969184274951E-3</v>
      </c>
      <c r="S32" s="198">
        <f>ATAN(  (TAN(S23)-TAN(S29)*COS(S31))  /(1+TAN(S23)*TAN(S29)*COS(S31)))</f>
        <v>-2.116583894484202E-3</v>
      </c>
      <c r="T32" s="198">
        <f>ATAN(  (TAN(T23)-TAN(T29)*COS(T31))  /(1+TAN(T23)*TAN(T29)*COS(T31)))</f>
        <v>-2.7672282858263813E-3</v>
      </c>
      <c r="U32" s="198">
        <f>ATAN(  (TAN(U23)-TAN(U29)*COS(U31))  /(1+TAN(U23)*TAN(U29)*COS(U31)))</f>
        <v>-2.1977137136379396E-3</v>
      </c>
    </row>
    <row r="33" spans="1:29" ht="20" customHeight="1">
      <c r="A33" s="4"/>
      <c r="B33" s="99"/>
      <c r="C33" s="99"/>
      <c r="D33" s="99"/>
      <c r="E33" s="99"/>
      <c r="F33" s="99"/>
      <c r="G33" s="22"/>
      <c r="H33" s="22"/>
      <c r="I33" s="22"/>
      <c r="J33" s="22"/>
      <c r="K33" s="22"/>
      <c r="L33" s="22"/>
      <c r="M33" s="6"/>
      <c r="N33" s="94" t="s">
        <v>45</v>
      </c>
      <c r="O33" s="189">
        <v>4.706913073237508E-5</v>
      </c>
      <c r="P33" s="6"/>
      <c r="Q33" s="199" t="s">
        <v>53</v>
      </c>
      <c r="R33" s="200">
        <f>IF((ot*24+12)&gt;24,R32+RADIANS(15)*(ot*24-12),R32+RADIANS(15)*(ot*24+12))</f>
        <v>1.9728918731501312E-2</v>
      </c>
      <c r="S33" s="201">
        <f>IF((noon1*24+12)&gt;24,S32+RADIANS(15)*(noon1*24-12),S32+RADIANS(15)*(noon1*24+12))</f>
        <v>6.1689676798705495</v>
      </c>
      <c r="T33" s="201">
        <f>IF((noon2*24+12)&gt;24,T32+RADIANS(15)*(noon2*24-12),T32+RADIANS(15)*(noon2*24+12))</f>
        <v>3.1388254253039669</v>
      </c>
      <c r="U33" s="201">
        <f>IF((ot_*24+12)&gt;24,U32+RADIANS(15)*(ot_*24-12),U32+RADIANS(15)*(ot_*24+12))</f>
        <v>5.7925135690640346</v>
      </c>
      <c r="X33" s="28"/>
      <c r="Y33" s="28"/>
      <c r="Z33" s="28"/>
      <c r="AA33" s="28"/>
      <c r="AB33" s="28"/>
      <c r="AC33" s="28"/>
    </row>
    <row r="34" spans="1:29" ht="20" customHeight="1">
      <c r="A34" s="4"/>
      <c r="B34" s="2"/>
      <c r="G34" s="2"/>
      <c r="H34" s="2"/>
      <c r="I34" s="2"/>
      <c r="J34" s="2"/>
      <c r="K34" s="2"/>
      <c r="L34" s="2"/>
      <c r="M34" s="6"/>
      <c r="N34" s="94" t="s">
        <v>47</v>
      </c>
      <c r="O34" s="189">
        <v>1.1498973305954826E-9</v>
      </c>
      <c r="P34" s="6"/>
      <c r="Q34" s="89" t="s">
        <v>54</v>
      </c>
      <c r="R34" s="98">
        <f>IF(R33&lt;0,R33+2*PI(),IF(R33&gt;2*PI(),R33-2*PI(),R33))</f>
        <v>1.9728918731501312E-2</v>
      </c>
      <c r="S34" s="98">
        <f>IF(S33&lt;0,S33+2*PI(),IF(S33&gt;2*PI(),S33-2*PI(),S33))</f>
        <v>6.1689676798705495</v>
      </c>
      <c r="T34" s="98">
        <f>IF(T33&lt;0,T33+2*PI(),IF(T33&gt;2*PI(),T33-2*PI(),T33))</f>
        <v>3.1388254253039669</v>
      </c>
      <c r="U34" s="98">
        <f>IF(U33&lt;0,U33+2*PI(),IF(U33&gt;2*PI(),U33-2*PI(),U33))</f>
        <v>5.7925135690640346</v>
      </c>
      <c r="X34" s="28"/>
      <c r="Y34" s="28"/>
      <c r="Z34" s="28"/>
      <c r="AA34" s="28"/>
      <c r="AB34" s="28"/>
      <c r="AC34" s="28"/>
    </row>
    <row r="35" spans="1:29" ht="20" customHeight="1" thickBot="1">
      <c r="A35" s="4"/>
      <c r="B35" s="20" t="s">
        <v>7</v>
      </c>
      <c r="C35" s="247">
        <f>dat</f>
        <v>45534</v>
      </c>
      <c r="D35" s="248"/>
      <c r="E35" s="249"/>
      <c r="F35" s="22"/>
      <c r="G35" s="2"/>
      <c r="H35" s="2"/>
      <c r="I35" s="2"/>
      <c r="J35" s="2"/>
      <c r="K35" s="2"/>
      <c r="L35" s="2"/>
      <c r="M35" s="17"/>
      <c r="N35" s="94" t="s">
        <v>49</v>
      </c>
      <c r="O35" s="189">
        <v>3.5607270514868054E-7</v>
      </c>
      <c r="P35" s="6"/>
      <c r="Q35" s="202" t="s">
        <v>55</v>
      </c>
      <c r="R35" s="203">
        <f>ASIN(SIN(R29)*SIN(R31))</f>
        <v>0.15204415354919715</v>
      </c>
      <c r="S35" s="204">
        <f>ASIN(SIN(S29)*SIN(S31))</f>
        <v>0.15217796493112001</v>
      </c>
      <c r="T35" s="204">
        <f>ASIN(SIN(T29)*SIN(T31))</f>
        <v>0.15520010377422788</v>
      </c>
      <c r="U35" s="204">
        <f>ASIN(SIN(U29)*SIN(U31))</f>
        <v>0.15255394058405838</v>
      </c>
      <c r="X35" s="28"/>
      <c r="Y35" s="28"/>
      <c r="Z35" s="28"/>
      <c r="AA35" s="28"/>
      <c r="AB35" s="28"/>
      <c r="AC35" s="28"/>
    </row>
    <row r="36" spans="1:29" ht="20" customHeight="1">
      <c r="A36" s="4"/>
      <c r="B36" s="20" t="s">
        <v>81</v>
      </c>
      <c r="C36" s="250">
        <v>0.42225694444444445</v>
      </c>
      <c r="D36" s="251"/>
      <c r="E36" s="252"/>
      <c r="F36" s="22"/>
      <c r="G36" s="2"/>
      <c r="H36" s="2"/>
      <c r="I36" s="2"/>
      <c r="J36" s="2"/>
      <c r="K36" s="2"/>
      <c r="L36" s="2"/>
      <c r="M36" s="17"/>
      <c r="N36" s="96"/>
      <c r="O36" s="97"/>
      <c r="P36" s="6"/>
      <c r="Q36" s="89" t="s">
        <v>56</v>
      </c>
      <c r="R36" s="205">
        <f t="shared" ref="R36:U37" si="7">DEGREES(R34)</f>
        <v>1.130383777671619</v>
      </c>
      <c r="S36" s="205">
        <f t="shared" si="7"/>
        <v>353.45581200919401</v>
      </c>
      <c r="T36" s="205">
        <f t="shared" si="7"/>
        <v>179.84144949827294</v>
      </c>
      <c r="U36" s="205">
        <f t="shared" si="7"/>
        <v>331.88658027963049</v>
      </c>
    </row>
    <row r="37" spans="1:29" ht="20" customHeight="1" thickBot="1">
      <c r="A37" s="4"/>
      <c r="B37" s="24" t="s">
        <v>8</v>
      </c>
      <c r="C37" s="104">
        <v>41</v>
      </c>
      <c r="D37" s="101">
        <v>8</v>
      </c>
      <c r="E37" s="41" t="s">
        <v>0</v>
      </c>
      <c r="F37" s="22"/>
      <c r="G37" s="2"/>
      <c r="H37" s="2"/>
      <c r="I37" s="2"/>
      <c r="J37" s="2"/>
      <c r="K37" s="2"/>
      <c r="L37" s="2"/>
      <c r="M37" s="17"/>
      <c r="N37" s="191" t="s">
        <v>50</v>
      </c>
      <c r="O37" s="192">
        <v>36526</v>
      </c>
      <c r="Q37" s="202" t="s">
        <v>57</v>
      </c>
      <c r="R37" s="206">
        <f t="shared" si="7"/>
        <v>8.7114882980080335</v>
      </c>
      <c r="S37" s="207">
        <f t="shared" si="7"/>
        <v>8.7191551254430255</v>
      </c>
      <c r="T37" s="207">
        <f t="shared" si="7"/>
        <v>8.8923109262556572</v>
      </c>
      <c r="U37" s="207">
        <f t="shared" si="7"/>
        <v>8.7406969435560704</v>
      </c>
    </row>
    <row r="38" spans="1:29" ht="20" customHeight="1" thickBot="1">
      <c r="A38" s="4"/>
      <c r="B38" s="24" t="s">
        <v>13</v>
      </c>
      <c r="C38" s="103">
        <v>52</v>
      </c>
      <c r="D38" s="102">
        <v>12.23</v>
      </c>
      <c r="E38" s="42" t="s">
        <v>5</v>
      </c>
      <c r="F38" s="1"/>
      <c r="G38" s="172"/>
      <c r="H38" s="151" t="s">
        <v>75</v>
      </c>
      <c r="I38" s="170">
        <f>INT(ABS(AB17))</f>
        <v>6</v>
      </c>
      <c r="J38" s="153">
        <f>(ABS(AB17)-I38)*60</f>
        <v>32.056961908395216</v>
      </c>
      <c r="K38" s="154" t="str">
        <f>IFERROR(IF(AB17&gt;0,"E","W"),#N/A)</f>
        <v>E</v>
      </c>
      <c r="L38" s="236"/>
      <c r="M38" s="17"/>
      <c r="Q38" s="2"/>
      <c r="R38" s="2"/>
      <c r="S38" s="2"/>
      <c r="T38" s="2"/>
      <c r="U38" s="2"/>
    </row>
    <row r="39" spans="1:29" ht="20" customHeight="1">
      <c r="A39" s="4"/>
      <c r="B39" s="37"/>
      <c r="C39" s="38"/>
      <c r="D39" s="115"/>
      <c r="E39" s="9"/>
      <c r="F39" s="9"/>
      <c r="G39" s="171" t="s">
        <v>76</v>
      </c>
      <c r="H39" s="226">
        <f>IF(Grt_-J39&lt;0,Grt_-J39+ 2*PI(),IF(Grt_-J39&gt;2*PI(),Grt_-J39-2*PI(),Grt_-J39))</f>
        <v>5.6784688217195765</v>
      </c>
      <c r="I39" s="227"/>
      <c r="J39" s="228">
        <f>RADIANS(AB17)</f>
        <v>0.11404474734445813</v>
      </c>
      <c r="K39" s="50"/>
      <c r="L39" s="50"/>
      <c r="M39" s="17"/>
    </row>
    <row r="40" spans="1:29" ht="20" customHeight="1" thickBot="1">
      <c r="A40" s="4"/>
      <c r="B40" s="229"/>
      <c r="C40" s="230"/>
      <c r="D40" s="230"/>
      <c r="E40" s="230"/>
      <c r="F40" s="231"/>
      <c r="G40" s="231"/>
      <c r="H40" s="232"/>
      <c r="I40" s="233"/>
      <c r="J40" s="234"/>
      <c r="K40" s="229"/>
      <c r="L40" s="6"/>
      <c r="M40" s="18"/>
    </row>
    <row r="41" spans="1:29" ht="20" customHeight="1" thickTop="1">
      <c r="A41" s="4"/>
      <c r="B41" s="25"/>
      <c r="C41" s="25"/>
      <c r="D41" s="25"/>
      <c r="E41" s="25"/>
      <c r="F41" s="25"/>
      <c r="G41" s="26"/>
      <c r="H41" s="26"/>
      <c r="I41" s="26"/>
      <c r="J41" s="26"/>
      <c r="K41" s="26"/>
      <c r="L41" s="26"/>
      <c r="M41" s="18"/>
    </row>
    <row r="42" spans="1:29" ht="20" customHeight="1">
      <c r="B42" s="23" t="s">
        <v>74</v>
      </c>
      <c r="C42" s="5"/>
      <c r="D42" s="5"/>
      <c r="E42" s="5"/>
      <c r="F42" s="29"/>
      <c r="G42" s="177"/>
      <c r="H42" s="179"/>
      <c r="I42" s="180" t="s">
        <v>77</v>
      </c>
      <c r="J42" s="209">
        <v>10</v>
      </c>
      <c r="K42" s="178"/>
      <c r="L42" s="32"/>
      <c r="M42" s="18"/>
    </row>
    <row r="43" spans="1:29" ht="20" customHeight="1">
      <c r="D43" s="5"/>
      <c r="E43" s="5"/>
      <c r="F43" s="5"/>
      <c r="H43" s="28"/>
      <c r="I43" s="28"/>
      <c r="J43" s="28"/>
      <c r="K43" s="28"/>
      <c r="L43" s="28"/>
      <c r="M43" s="18"/>
    </row>
    <row r="44" spans="1:29" ht="20" customHeight="1">
      <c r="D44" s="5"/>
      <c r="E44" s="5"/>
      <c r="F44" s="5"/>
      <c r="J44" s="28"/>
      <c r="K44" s="28"/>
      <c r="L44" s="28"/>
      <c r="M44" s="18"/>
    </row>
    <row r="45" spans="1:29" ht="20" customHeight="1">
      <c r="D45" s="5"/>
      <c r="E45" s="5"/>
      <c r="F45" s="5"/>
      <c r="G45" s="28"/>
      <c r="J45" s="28"/>
      <c r="K45" s="28"/>
      <c r="L45" s="28"/>
      <c r="M45" s="18"/>
    </row>
    <row r="46" spans="1:29" ht="20" customHeight="1">
      <c r="D46" s="5"/>
      <c r="E46" s="5"/>
      <c r="F46" s="5"/>
      <c r="G46" s="28"/>
      <c r="J46" s="28"/>
      <c r="K46" s="28"/>
      <c r="L46" s="28"/>
      <c r="M46" s="18"/>
    </row>
    <row r="47" spans="1:29" ht="20" customHeight="1">
      <c r="D47" s="5"/>
      <c r="E47" s="5"/>
      <c r="F47" s="5"/>
      <c r="G47" s="28"/>
      <c r="J47" s="28"/>
      <c r="K47" s="28"/>
      <c r="L47" s="28"/>
      <c r="M47" s="27"/>
    </row>
    <row r="48" spans="1:29">
      <c r="D48" s="5"/>
      <c r="E48" s="5"/>
      <c r="F48" s="5"/>
      <c r="G48" s="28"/>
      <c r="H48" s="28"/>
      <c r="I48" s="28"/>
      <c r="J48" s="28"/>
      <c r="K48" s="2"/>
      <c r="L48" s="2"/>
      <c r="M48" s="28"/>
    </row>
    <row r="49" spans="2:13">
      <c r="D49" s="5"/>
      <c r="E49" s="5"/>
      <c r="F49" s="5"/>
      <c r="G49" s="28"/>
      <c r="H49" s="28"/>
      <c r="I49" s="28"/>
      <c r="J49" s="28"/>
      <c r="K49" s="2"/>
      <c r="L49" s="2"/>
      <c r="M49" s="28"/>
    </row>
    <row r="50" spans="2:13" ht="15" customHeight="1">
      <c r="D50" s="5"/>
      <c r="E50" s="5"/>
      <c r="F50" s="5"/>
      <c r="G50" s="28"/>
      <c r="H50" s="28"/>
      <c r="I50" s="28"/>
      <c r="J50" s="28"/>
      <c r="K50" s="2"/>
      <c r="L50" s="2"/>
      <c r="M50" s="2"/>
    </row>
    <row r="51" spans="2:13" ht="15" customHeight="1">
      <c r="B51" s="28"/>
      <c r="C51" s="5"/>
      <c r="D51" s="5"/>
      <c r="E51" s="5"/>
      <c r="F51" s="5"/>
      <c r="G51" s="28"/>
      <c r="H51" s="28"/>
      <c r="I51" s="28"/>
      <c r="J51" s="28"/>
      <c r="K51" s="28"/>
      <c r="L51" s="28"/>
      <c r="M51" s="2"/>
    </row>
    <row r="52" spans="2:13" ht="15" customHeight="1">
      <c r="B52" s="28"/>
      <c r="C52" s="5"/>
      <c r="D52" s="5"/>
      <c r="E52" s="5"/>
      <c r="F52" s="5"/>
      <c r="G52" s="28"/>
      <c r="H52" s="28"/>
      <c r="I52" s="28"/>
      <c r="J52" s="28"/>
      <c r="K52" s="28"/>
      <c r="L52" s="28"/>
      <c r="M52" s="2"/>
    </row>
    <row r="53" spans="2:13" ht="15" customHeight="1">
      <c r="B53" s="28"/>
      <c r="C53" s="5"/>
      <c r="D53" s="5"/>
      <c r="E53" s="5"/>
      <c r="F53" s="5"/>
      <c r="G53" s="28"/>
      <c r="H53" s="28"/>
      <c r="I53" s="28"/>
      <c r="J53" s="28"/>
      <c r="K53" s="28"/>
      <c r="L53" s="28"/>
      <c r="M53" s="28"/>
    </row>
    <row r="54" spans="2:13" ht="15" customHeight="1">
      <c r="B54" s="28"/>
      <c r="C54" s="5"/>
      <c r="D54" s="5"/>
      <c r="E54" s="5"/>
      <c r="F54" s="5"/>
      <c r="G54" s="28"/>
      <c r="H54" s="28"/>
      <c r="I54" s="28"/>
      <c r="J54" s="28"/>
      <c r="K54" s="28"/>
      <c r="L54" s="28"/>
      <c r="M54" s="2"/>
    </row>
    <row r="55" spans="2:13" ht="15" customHeight="1">
      <c r="B55" s="28"/>
      <c r="C55" s="5"/>
      <c r="D55" s="5"/>
      <c r="E55" s="5"/>
      <c r="F55" s="5"/>
      <c r="G55" s="28"/>
      <c r="H55" s="28"/>
      <c r="I55" s="28"/>
      <c r="J55" s="28"/>
      <c r="K55" s="28"/>
      <c r="L55" s="28"/>
      <c r="M55" s="2"/>
    </row>
    <row r="56" spans="2:13" ht="15" customHeight="1">
      <c r="B56" s="28"/>
      <c r="C56" s="5"/>
      <c r="D56" s="5"/>
      <c r="E56" s="5"/>
      <c r="F56" s="5"/>
      <c r="G56" s="28"/>
      <c r="H56" s="28"/>
      <c r="I56" s="28"/>
      <c r="J56" s="28"/>
      <c r="K56" s="28"/>
      <c r="L56" s="28"/>
      <c r="M56" s="2"/>
    </row>
    <row r="57" spans="2:13" ht="15" customHeight="1">
      <c r="B57" s="28"/>
      <c r="C57" s="5"/>
      <c r="D57" s="5"/>
      <c r="E57" s="5"/>
      <c r="F57" s="5"/>
      <c r="G57" s="28"/>
      <c r="H57" s="28"/>
      <c r="I57" s="28"/>
      <c r="J57" s="28"/>
      <c r="K57" s="28"/>
      <c r="L57" s="28"/>
      <c r="M57" s="28"/>
    </row>
    <row r="58" spans="2:13" ht="15" customHeight="1">
      <c r="B58" s="28"/>
      <c r="C58" s="5"/>
      <c r="D58" s="5"/>
      <c r="E58" s="5"/>
      <c r="F58" s="5"/>
      <c r="G58" s="28"/>
      <c r="H58" s="28"/>
      <c r="I58" s="28"/>
      <c r="J58" s="28"/>
      <c r="K58" s="28"/>
      <c r="L58" s="28"/>
      <c r="M58" s="28"/>
    </row>
    <row r="59" spans="2:13" ht="15" customHeight="1">
      <c r="B59" s="28"/>
      <c r="C59" s="30"/>
      <c r="D59" s="30"/>
      <c r="E59" s="30"/>
      <c r="F59" s="5"/>
      <c r="G59" s="28"/>
      <c r="H59" s="28"/>
      <c r="I59" s="28"/>
      <c r="J59" s="28"/>
      <c r="K59" s="28"/>
      <c r="L59" s="28"/>
      <c r="M59" s="28"/>
    </row>
    <row r="60" spans="2:13" ht="15" customHeight="1">
      <c r="B60" s="28"/>
      <c r="C60" s="30"/>
      <c r="D60" s="30"/>
      <c r="E60" s="30"/>
      <c r="F60" s="5"/>
      <c r="G60" s="28"/>
      <c r="H60" s="28"/>
      <c r="I60" s="28"/>
      <c r="J60" s="28"/>
      <c r="K60" s="28"/>
      <c r="L60" s="28"/>
      <c r="M60" s="28"/>
    </row>
    <row r="61" spans="2:13" ht="15" customHeight="1">
      <c r="B61" s="28"/>
      <c r="C61" s="30"/>
      <c r="D61" s="30"/>
      <c r="E61" s="30"/>
      <c r="F61" s="5"/>
      <c r="G61" s="28"/>
      <c r="H61" s="28"/>
      <c r="I61" s="28"/>
      <c r="J61" s="28"/>
      <c r="K61" s="28"/>
      <c r="L61" s="28"/>
      <c r="M61" s="28"/>
    </row>
    <row r="62" spans="2:13" ht="15" customHeight="1">
      <c r="B62" s="28"/>
      <c r="C62" s="30"/>
      <c r="D62" s="30"/>
      <c r="E62" s="30"/>
      <c r="F62" s="5"/>
      <c r="G62" s="28"/>
      <c r="H62" s="28"/>
      <c r="I62" s="28"/>
      <c r="J62" s="28"/>
      <c r="K62" s="28"/>
      <c r="L62" s="28"/>
      <c r="M62" s="28"/>
    </row>
    <row r="63" spans="2:13" ht="15" customHeight="1">
      <c r="B63" s="28"/>
      <c r="C63" s="30"/>
      <c r="D63" s="30"/>
      <c r="E63" s="30"/>
      <c r="F63" s="5"/>
      <c r="G63" s="28"/>
      <c r="H63" s="28"/>
      <c r="I63" s="28"/>
      <c r="J63" s="28"/>
      <c r="K63" s="28"/>
      <c r="L63" s="28"/>
      <c r="M63" s="28"/>
    </row>
    <row r="64" spans="2:13" ht="15" customHeight="1">
      <c r="B64" s="28"/>
      <c r="C64" s="30"/>
      <c r="D64" s="30"/>
      <c r="E64" s="30"/>
      <c r="F64" s="5"/>
      <c r="G64" s="28"/>
      <c r="H64" s="28"/>
      <c r="I64" s="28"/>
      <c r="J64" s="28"/>
      <c r="K64" s="28"/>
      <c r="L64" s="28"/>
      <c r="M64" s="28"/>
    </row>
    <row r="65" spans="2:13" ht="15" customHeight="1">
      <c r="B65" s="28"/>
      <c r="C65" s="30"/>
      <c r="D65" s="30"/>
      <c r="E65" s="30"/>
      <c r="F65" s="5"/>
      <c r="G65" s="28"/>
      <c r="H65" s="28"/>
      <c r="I65" s="28"/>
      <c r="J65" s="28"/>
      <c r="K65" s="28"/>
      <c r="L65" s="28"/>
      <c r="M65" s="28"/>
    </row>
    <row r="66" spans="2:13" ht="15" customHeight="1">
      <c r="B66" s="28"/>
      <c r="C66" s="30"/>
      <c r="D66" s="30"/>
      <c r="E66" s="30"/>
      <c r="F66" s="5"/>
      <c r="G66" s="28"/>
      <c r="H66" s="28"/>
      <c r="I66" s="28"/>
      <c r="J66" s="28"/>
      <c r="K66" s="28"/>
      <c r="L66" s="28"/>
      <c r="M66" s="28"/>
    </row>
    <row r="67" spans="2:13" ht="15" customHeight="1">
      <c r="B67" s="28"/>
      <c r="C67" s="30"/>
      <c r="D67" s="30"/>
      <c r="E67" s="30"/>
      <c r="F67" s="5"/>
      <c r="G67" s="28"/>
      <c r="H67" s="28"/>
      <c r="I67" s="28"/>
      <c r="J67" s="28"/>
      <c r="K67" s="28"/>
      <c r="L67" s="28"/>
      <c r="M67" s="28"/>
    </row>
    <row r="68" spans="2:13" ht="15" customHeight="1">
      <c r="B68" s="28"/>
      <c r="C68" s="30"/>
      <c r="D68" s="30"/>
      <c r="E68" s="30"/>
      <c r="F68" s="5"/>
      <c r="G68" s="28"/>
      <c r="H68" s="28"/>
      <c r="I68" s="28"/>
      <c r="J68" s="28"/>
      <c r="K68" s="28"/>
      <c r="L68" s="28"/>
      <c r="M68" s="28"/>
    </row>
    <row r="69" spans="2:13" ht="15" customHeight="1">
      <c r="B69" s="28"/>
      <c r="C69" s="30"/>
      <c r="D69" s="30"/>
      <c r="E69" s="30"/>
      <c r="F69" s="5"/>
      <c r="G69" s="28"/>
      <c r="H69" s="28"/>
      <c r="I69" s="28"/>
      <c r="J69" s="28"/>
      <c r="K69" s="28"/>
      <c r="L69" s="28"/>
      <c r="M69" s="28"/>
    </row>
    <row r="70" spans="2:13" ht="15" customHeight="1">
      <c r="B70" s="28"/>
      <c r="C70" s="30"/>
      <c r="D70" s="30"/>
      <c r="E70" s="30"/>
      <c r="F70" s="5"/>
      <c r="G70" s="28"/>
      <c r="H70" s="28"/>
      <c r="I70" s="28"/>
      <c r="J70" s="28"/>
      <c r="K70" s="28"/>
      <c r="L70" s="28"/>
      <c r="M70" s="28"/>
    </row>
    <row r="71" spans="2:13" ht="15" customHeight="1">
      <c r="B71" s="28"/>
      <c r="C71" s="31"/>
      <c r="D71" s="32"/>
      <c r="E71" s="32"/>
      <c r="F71" s="5"/>
      <c r="G71" s="28"/>
      <c r="H71" s="28"/>
      <c r="I71" s="28"/>
      <c r="J71" s="28"/>
      <c r="K71" s="28"/>
      <c r="L71" s="28"/>
      <c r="M71" s="28"/>
    </row>
    <row r="72" spans="2:13" ht="15" customHeight="1">
      <c r="B72" s="28"/>
      <c r="C72" s="31"/>
      <c r="D72" s="32"/>
      <c r="E72" s="32"/>
      <c r="F72" s="7"/>
      <c r="G72" s="28"/>
      <c r="H72" s="28"/>
      <c r="I72" s="28"/>
      <c r="J72" s="28"/>
      <c r="K72" s="28"/>
      <c r="L72" s="28"/>
      <c r="M72" s="28"/>
    </row>
    <row r="73" spans="2:13" ht="15" customHeight="1">
      <c r="B73" s="28"/>
      <c r="C73" s="31"/>
      <c r="D73" s="32"/>
      <c r="E73" s="32"/>
      <c r="F73" s="7"/>
      <c r="G73" s="28"/>
      <c r="H73" s="28"/>
      <c r="I73" s="28"/>
      <c r="J73" s="28"/>
      <c r="K73" s="28"/>
      <c r="L73" s="28"/>
      <c r="M73" s="28"/>
    </row>
    <row r="74" spans="2:13" ht="15" customHeight="1">
      <c r="B74" s="28"/>
      <c r="C74" s="31"/>
      <c r="D74" s="32"/>
      <c r="E74" s="32"/>
      <c r="F74" s="7"/>
      <c r="G74" s="28"/>
      <c r="H74" s="28"/>
      <c r="I74" s="28"/>
      <c r="J74" s="28"/>
      <c r="K74" s="28"/>
      <c r="L74" s="28"/>
      <c r="M74" s="28"/>
    </row>
    <row r="75" spans="2:13" ht="15" customHeight="1">
      <c r="B75" s="28"/>
      <c r="C75" s="31"/>
      <c r="D75" s="32"/>
      <c r="E75" s="32"/>
      <c r="F75" s="7"/>
      <c r="G75" s="28"/>
      <c r="H75" s="28"/>
      <c r="I75" s="28"/>
      <c r="J75" s="28"/>
      <c r="K75" s="28"/>
      <c r="L75" s="28"/>
      <c r="M75" s="28"/>
    </row>
    <row r="76" spans="2:13" ht="15" customHeight="1">
      <c r="B76" s="28"/>
      <c r="C76" s="31"/>
      <c r="D76" s="32"/>
      <c r="E76" s="32"/>
      <c r="F76" s="33"/>
      <c r="G76" s="28"/>
      <c r="H76" s="28"/>
      <c r="I76" s="28"/>
      <c r="J76" s="28"/>
      <c r="K76" s="28"/>
      <c r="L76" s="28"/>
      <c r="M76" s="28"/>
    </row>
    <row r="77" spans="2:13" ht="15" customHeight="1">
      <c r="B77" s="28"/>
      <c r="C77" s="7"/>
      <c r="D77" s="7"/>
      <c r="E77" s="7"/>
      <c r="F77" s="33"/>
      <c r="G77" s="28"/>
      <c r="H77" s="28"/>
      <c r="I77" s="28"/>
      <c r="J77" s="28"/>
      <c r="K77" s="28"/>
      <c r="L77" s="28"/>
      <c r="M77" s="28"/>
    </row>
    <row r="78" spans="2:13" ht="15" customHeight="1">
      <c r="B78" s="28"/>
      <c r="C78" s="7"/>
      <c r="D78" s="5"/>
      <c r="E78" s="5"/>
      <c r="F78" s="7"/>
      <c r="G78" s="28"/>
      <c r="H78" s="28"/>
      <c r="I78" s="28"/>
      <c r="J78" s="28"/>
      <c r="K78" s="28"/>
      <c r="L78" s="28"/>
      <c r="M78" s="28"/>
    </row>
    <row r="79" spans="2:13" ht="15" customHeight="1">
      <c r="B79" s="44"/>
      <c r="C79" s="45"/>
      <c r="D79" s="48"/>
      <c r="E79" s="56"/>
      <c r="F79" s="47"/>
      <c r="G79" s="28"/>
      <c r="H79" s="28"/>
      <c r="I79" s="28"/>
      <c r="J79" s="28"/>
      <c r="K79" s="28"/>
      <c r="L79" s="28"/>
      <c r="M79" s="28"/>
    </row>
    <row r="80" spans="2:13" ht="15" customHeight="1">
      <c r="B80" s="44"/>
      <c r="C80" s="45"/>
      <c r="D80" s="46"/>
      <c r="E80" s="56"/>
      <c r="F80" s="47"/>
      <c r="G80" s="28"/>
      <c r="H80" s="28"/>
      <c r="I80" s="28"/>
      <c r="J80" s="28"/>
      <c r="K80" s="28"/>
      <c r="L80" s="28"/>
      <c r="M80" s="28"/>
    </row>
    <row r="81" spans="2:13" ht="15" customHeight="1">
      <c r="B81" s="28"/>
      <c r="C81" s="5"/>
      <c r="D81" s="5"/>
      <c r="E81" s="5"/>
      <c r="F81" s="5"/>
      <c r="G81" s="28"/>
      <c r="H81" s="28"/>
      <c r="I81" s="28"/>
      <c r="J81" s="28"/>
      <c r="K81" s="28"/>
      <c r="L81" s="28"/>
      <c r="M81" s="28"/>
    </row>
    <row r="82" spans="2:13" ht="15" customHeight="1">
      <c r="B82" s="28"/>
      <c r="C82" s="5"/>
      <c r="D82" s="5"/>
      <c r="E82" s="5"/>
      <c r="F82" s="5"/>
      <c r="G82" s="28"/>
      <c r="H82" s="28"/>
      <c r="I82" s="28"/>
      <c r="J82" s="28"/>
      <c r="K82" s="28"/>
      <c r="L82" s="28"/>
      <c r="M82" s="28"/>
    </row>
    <row r="83" spans="2:13" ht="15" customHeight="1">
      <c r="B83" s="28"/>
      <c r="C83" s="5"/>
      <c r="D83" s="5"/>
      <c r="E83" s="5"/>
      <c r="F83" s="5"/>
      <c r="G83" s="28"/>
      <c r="H83" s="28"/>
      <c r="I83" s="28"/>
      <c r="J83" s="28"/>
      <c r="K83" s="28"/>
      <c r="L83" s="28"/>
      <c r="M83" s="28"/>
    </row>
    <row r="84" spans="2:13" ht="15" customHeight="1">
      <c r="B84" s="28"/>
      <c r="C84" s="5"/>
      <c r="F84" s="5"/>
      <c r="G84" s="28"/>
      <c r="H84" s="28"/>
      <c r="I84" s="28"/>
      <c r="J84" s="28"/>
      <c r="K84" s="28"/>
      <c r="L84" s="28"/>
      <c r="M84" s="28"/>
    </row>
    <row r="85" spans="2:13" ht="15" customHeight="1">
      <c r="B85" s="28"/>
      <c r="C85" s="5"/>
      <c r="D85" s="5"/>
      <c r="E85" s="5"/>
      <c r="F85" s="5"/>
      <c r="G85" s="28"/>
      <c r="H85" s="28"/>
      <c r="I85" s="28"/>
      <c r="J85" s="28"/>
      <c r="K85" s="28"/>
      <c r="L85" s="28"/>
      <c r="M85" s="28"/>
    </row>
    <row r="86" spans="2:13" ht="15" customHeight="1">
      <c r="B86" s="28"/>
      <c r="C86" s="51"/>
      <c r="D86" s="34"/>
      <c r="E86" s="34"/>
      <c r="F86" s="5"/>
      <c r="G86" s="28"/>
      <c r="H86" s="28"/>
      <c r="I86" s="28"/>
      <c r="J86" s="28"/>
      <c r="K86" s="28"/>
      <c r="L86" s="28"/>
      <c r="M86" s="28"/>
    </row>
    <row r="87" spans="2:13" ht="15" customHeight="1">
      <c r="B87" s="5"/>
      <c r="C87" s="5"/>
      <c r="D87" s="34"/>
      <c r="E87" s="34"/>
      <c r="F87" s="5"/>
      <c r="G87" s="28"/>
      <c r="H87" s="28"/>
      <c r="I87" s="28"/>
      <c r="J87" s="28"/>
      <c r="K87" s="28"/>
      <c r="L87" s="28"/>
      <c r="M87" s="28"/>
    </row>
    <row r="88" spans="2:13" ht="15" customHeight="1">
      <c r="B88" s="28"/>
      <c r="C88" s="34"/>
      <c r="D88" s="34"/>
      <c r="E88" s="34"/>
      <c r="F88" s="5"/>
      <c r="G88" s="28"/>
      <c r="H88" s="28"/>
      <c r="I88" s="28"/>
      <c r="J88" s="28"/>
      <c r="K88" s="28"/>
      <c r="L88" s="28"/>
      <c r="M88" s="28"/>
    </row>
    <row r="89" spans="2:13" ht="15" customHeight="1">
      <c r="B89" s="28"/>
      <c r="C89" s="34"/>
      <c r="D89" s="34"/>
      <c r="E89" s="34"/>
      <c r="F89" s="5"/>
      <c r="G89" s="28"/>
      <c r="H89" s="28"/>
      <c r="I89" s="28"/>
      <c r="J89" s="28"/>
      <c r="K89" s="28"/>
      <c r="L89" s="28"/>
      <c r="M89" s="28"/>
    </row>
    <row r="90" spans="2:13" ht="15" customHeight="1">
      <c r="B90" s="28"/>
      <c r="C90" s="34"/>
      <c r="D90" s="34"/>
      <c r="E90" s="34"/>
      <c r="F90" s="5"/>
      <c r="G90" s="28"/>
      <c r="H90" s="28"/>
      <c r="I90" s="28"/>
      <c r="J90" s="28"/>
      <c r="K90" s="28"/>
      <c r="L90" s="28"/>
      <c r="M90" s="28"/>
    </row>
    <row r="91" spans="2:13" ht="15" customHeight="1">
      <c r="B91" s="28"/>
      <c r="C91" s="7"/>
      <c r="D91" s="7"/>
      <c r="E91" s="7"/>
      <c r="F91" s="5"/>
      <c r="G91" s="28"/>
      <c r="H91" s="28"/>
      <c r="I91" s="28"/>
      <c r="J91" s="28"/>
      <c r="K91" s="28"/>
      <c r="L91" s="28"/>
      <c r="M91" s="28"/>
    </row>
    <row r="92" spans="2:13" ht="15" customHeight="1">
      <c r="B92" s="28"/>
      <c r="C92" s="5"/>
      <c r="D92" s="5"/>
      <c r="E92" s="5"/>
      <c r="F92" s="5"/>
      <c r="G92" s="28"/>
      <c r="H92" s="28"/>
      <c r="I92" s="28"/>
      <c r="J92" s="28"/>
      <c r="K92" s="28"/>
      <c r="L92" s="28"/>
      <c r="M92" s="28"/>
    </row>
    <row r="93" spans="2:13" ht="15" customHeight="1">
      <c r="B93" s="28"/>
      <c r="C93" s="5"/>
      <c r="D93" s="5"/>
      <c r="E93" s="5"/>
      <c r="F93" s="5"/>
      <c r="G93" s="28"/>
      <c r="H93" s="28"/>
      <c r="I93" s="28"/>
      <c r="J93" s="28"/>
      <c r="K93" s="28"/>
      <c r="L93" s="28"/>
      <c r="M93" s="28"/>
    </row>
    <row r="94" spans="2:13" ht="15" customHeight="1">
      <c r="B94" s="28"/>
      <c r="C94" s="5"/>
      <c r="D94" s="5"/>
      <c r="E94" s="5"/>
      <c r="F94" s="5"/>
      <c r="G94" s="28"/>
      <c r="H94" s="28"/>
      <c r="I94" s="28"/>
      <c r="J94" s="28"/>
      <c r="K94" s="28"/>
      <c r="L94" s="28"/>
      <c r="M94" s="28"/>
    </row>
    <row r="95" spans="2:13" ht="15" customHeight="1">
      <c r="B95" s="28"/>
      <c r="C95" s="5"/>
      <c r="D95" s="5"/>
      <c r="E95" s="5"/>
      <c r="F95" s="5"/>
      <c r="G95" s="28"/>
      <c r="H95" s="28"/>
      <c r="I95" s="28"/>
      <c r="J95" s="28"/>
      <c r="K95" s="28"/>
      <c r="L95" s="28"/>
      <c r="M95" s="28"/>
    </row>
    <row r="96" spans="2:13" ht="15" customHeight="1">
      <c r="B96" s="28"/>
      <c r="C96" s="5"/>
      <c r="D96" s="5"/>
      <c r="E96" s="5"/>
      <c r="F96" s="5"/>
      <c r="G96" s="28"/>
      <c r="H96" s="28"/>
      <c r="I96" s="28"/>
      <c r="J96" s="28"/>
      <c r="K96" s="28"/>
      <c r="L96" s="28"/>
      <c r="M96" s="28"/>
    </row>
    <row r="97" spans="2:13" ht="15" customHeight="1">
      <c r="B97" s="28"/>
      <c r="C97" s="5"/>
      <c r="D97" s="5"/>
      <c r="E97" s="5"/>
      <c r="F97" s="5"/>
      <c r="G97" s="28"/>
      <c r="H97" s="28"/>
      <c r="I97" s="28"/>
      <c r="J97" s="28"/>
      <c r="K97" s="28"/>
      <c r="L97" s="28"/>
      <c r="M97" s="28"/>
    </row>
    <row r="98" spans="2:13" ht="15" customHeight="1">
      <c r="B98" s="28"/>
      <c r="C98" s="5"/>
      <c r="D98" s="5"/>
      <c r="E98" s="5"/>
      <c r="F98" s="5"/>
      <c r="G98" s="28"/>
      <c r="H98" s="28"/>
      <c r="I98" s="28"/>
      <c r="J98" s="28"/>
      <c r="K98" s="28"/>
      <c r="L98" s="28"/>
      <c r="M98" s="28"/>
    </row>
    <row r="99" spans="2:13" ht="15" customHeight="1">
      <c r="B99" s="28"/>
      <c r="C99" s="5"/>
      <c r="D99" s="5"/>
      <c r="E99" s="5"/>
      <c r="F99" s="5"/>
      <c r="G99" s="28"/>
      <c r="H99" s="28"/>
      <c r="I99" s="28"/>
      <c r="J99" s="28"/>
      <c r="K99" s="28"/>
      <c r="L99" s="28"/>
      <c r="M99" s="28"/>
    </row>
    <row r="100" spans="2:13" ht="15" customHeight="1">
      <c r="B100" s="28"/>
      <c r="C100" s="5"/>
      <c r="D100" s="5"/>
      <c r="E100" s="5"/>
      <c r="F100" s="5"/>
      <c r="G100" s="28"/>
      <c r="H100" s="28"/>
      <c r="I100" s="28"/>
      <c r="J100" s="28"/>
      <c r="K100" s="28"/>
      <c r="L100" s="28"/>
      <c r="M100" s="28"/>
    </row>
    <row r="101" spans="2:13" ht="15" customHeight="1">
      <c r="B101" s="28"/>
      <c r="C101" s="5"/>
      <c r="D101" s="5"/>
      <c r="E101" s="5"/>
      <c r="F101" s="5"/>
      <c r="G101" s="28"/>
      <c r="H101" s="28"/>
      <c r="I101" s="28"/>
      <c r="J101" s="28"/>
      <c r="K101" s="28"/>
      <c r="L101" s="28"/>
      <c r="M101" s="28"/>
    </row>
    <row r="102" spans="2:13" ht="15" customHeight="1">
      <c r="B102" s="28"/>
      <c r="C102" s="5"/>
      <c r="D102" s="5"/>
      <c r="E102" s="5"/>
      <c r="F102" s="5"/>
      <c r="G102" s="28"/>
      <c r="H102" s="28"/>
      <c r="I102" s="28"/>
      <c r="J102" s="28"/>
      <c r="K102" s="28"/>
      <c r="L102" s="28"/>
      <c r="M102" s="28"/>
    </row>
    <row r="103" spans="2:13" ht="15" customHeight="1">
      <c r="B103" s="28"/>
      <c r="C103" s="5"/>
      <c r="D103" s="5"/>
      <c r="E103" s="5"/>
      <c r="F103" s="5"/>
      <c r="G103" s="28"/>
      <c r="H103" s="28"/>
      <c r="I103" s="28"/>
      <c r="J103" s="28"/>
      <c r="K103" s="28"/>
      <c r="L103" s="28"/>
      <c r="M103" s="28"/>
    </row>
    <row r="104" spans="2:13" ht="15" customHeight="1">
      <c r="B104" s="28"/>
      <c r="C104" s="5"/>
      <c r="D104" s="5"/>
      <c r="E104" s="5"/>
      <c r="F104" s="5"/>
      <c r="G104" s="28"/>
      <c r="H104" s="28"/>
      <c r="I104" s="28"/>
      <c r="J104" s="28"/>
      <c r="K104" s="28"/>
      <c r="L104" s="28"/>
      <c r="M104" s="28"/>
    </row>
    <row r="105" spans="2:13" ht="15" customHeight="1">
      <c r="B105" s="28"/>
      <c r="C105" s="5"/>
      <c r="D105" s="5"/>
      <c r="E105" s="5"/>
      <c r="F105" s="5"/>
      <c r="G105" s="28"/>
      <c r="H105" s="28"/>
      <c r="I105" s="28"/>
      <c r="J105" s="28"/>
      <c r="K105" s="28"/>
      <c r="L105" s="28"/>
      <c r="M105" s="28"/>
    </row>
    <row r="106" spans="2:13" ht="15" customHeight="1">
      <c r="B106" s="28"/>
      <c r="C106" s="5"/>
      <c r="D106" s="5"/>
      <c r="E106" s="5"/>
      <c r="F106" s="5"/>
      <c r="G106" s="28"/>
      <c r="H106" s="28"/>
      <c r="I106" s="28"/>
      <c r="J106" s="28"/>
      <c r="K106" s="28"/>
      <c r="L106" s="28"/>
      <c r="M106" s="28"/>
    </row>
    <row r="107" spans="2:13" ht="15" customHeight="1">
      <c r="B107" s="28"/>
      <c r="C107" s="5"/>
      <c r="D107" s="5"/>
      <c r="E107" s="5"/>
      <c r="F107" s="5"/>
      <c r="G107" s="28"/>
      <c r="H107" s="28"/>
      <c r="I107" s="28"/>
      <c r="J107" s="28"/>
      <c r="K107" s="28"/>
      <c r="L107" s="28"/>
      <c r="M107" s="28"/>
    </row>
    <row r="108" spans="2:13" ht="15" customHeight="1">
      <c r="B108" s="28"/>
      <c r="C108" s="5"/>
      <c r="D108" s="5"/>
      <c r="E108" s="5"/>
      <c r="F108" s="5"/>
      <c r="G108" s="28"/>
      <c r="H108" s="28"/>
      <c r="I108" s="28"/>
      <c r="J108" s="28"/>
      <c r="K108" s="28"/>
      <c r="L108" s="28"/>
      <c r="M108" s="28"/>
    </row>
    <row r="109" spans="2:13" ht="15" customHeight="1">
      <c r="B109" s="28"/>
      <c r="C109" s="5"/>
      <c r="D109" s="5"/>
      <c r="E109" s="5"/>
      <c r="F109" s="5"/>
      <c r="G109" s="28"/>
      <c r="H109" s="28"/>
      <c r="I109" s="28"/>
      <c r="J109" s="28"/>
      <c r="K109" s="28"/>
      <c r="L109" s="28"/>
      <c r="M109" s="28"/>
    </row>
    <row r="110" spans="2:13" ht="15" customHeight="1">
      <c r="B110" s="28"/>
      <c r="C110" s="5"/>
      <c r="D110" s="5"/>
      <c r="E110" s="5"/>
      <c r="F110" s="5"/>
      <c r="G110" s="28"/>
      <c r="H110" s="28"/>
      <c r="I110" s="28"/>
      <c r="J110" s="28"/>
      <c r="K110" s="28"/>
      <c r="L110" s="28"/>
      <c r="M110" s="28"/>
    </row>
    <row r="111" spans="2:13" ht="15" customHeight="1">
      <c r="B111" s="28"/>
      <c r="C111" s="5"/>
      <c r="D111" s="5"/>
      <c r="E111" s="5"/>
      <c r="F111" s="5"/>
      <c r="G111" s="28"/>
      <c r="H111" s="28"/>
      <c r="I111" s="28"/>
      <c r="J111" s="28"/>
      <c r="K111" s="28"/>
      <c r="L111" s="28"/>
      <c r="M111" s="28"/>
    </row>
    <row r="112" spans="2:13" ht="15" customHeight="1">
      <c r="B112" s="28"/>
      <c r="C112" s="5"/>
      <c r="D112" s="5"/>
      <c r="E112" s="5"/>
      <c r="F112" s="5"/>
      <c r="G112" s="28"/>
      <c r="H112" s="28"/>
      <c r="I112" s="28"/>
      <c r="J112" s="28"/>
      <c r="K112" s="28"/>
      <c r="L112" s="28"/>
      <c r="M112" s="28"/>
    </row>
    <row r="113" spans="2:13" ht="15" customHeight="1">
      <c r="B113" s="28"/>
      <c r="C113" s="5"/>
      <c r="D113" s="5"/>
      <c r="E113" s="5"/>
      <c r="F113" s="5"/>
      <c r="G113" s="28"/>
      <c r="H113" s="28"/>
      <c r="I113" s="28"/>
      <c r="J113" s="28"/>
      <c r="K113" s="28"/>
      <c r="L113" s="28"/>
      <c r="M113" s="28"/>
    </row>
    <row r="114" spans="2:13" ht="15" customHeight="1">
      <c r="B114" s="28"/>
      <c r="C114" s="5"/>
      <c r="D114" s="5"/>
      <c r="E114" s="5"/>
      <c r="F114" s="5"/>
      <c r="G114" s="28"/>
      <c r="H114" s="28"/>
      <c r="I114" s="28"/>
      <c r="J114" s="28"/>
      <c r="K114" s="28"/>
      <c r="L114" s="28"/>
      <c r="M114" s="28"/>
    </row>
    <row r="115" spans="2:13" ht="15" customHeight="1">
      <c r="B115" s="28"/>
      <c r="C115" s="5"/>
      <c r="D115" s="5"/>
      <c r="E115" s="5"/>
      <c r="F115" s="5"/>
      <c r="G115" s="28"/>
      <c r="H115" s="28"/>
      <c r="I115" s="28"/>
      <c r="J115" s="28"/>
      <c r="K115" s="28"/>
      <c r="L115" s="28"/>
      <c r="M115" s="28"/>
    </row>
    <row r="116" spans="2:13" ht="15" customHeight="1">
      <c r="B116" s="28"/>
      <c r="C116" s="5"/>
      <c r="D116" s="5"/>
      <c r="E116" s="5"/>
      <c r="F116" s="5"/>
      <c r="G116" s="28"/>
      <c r="H116" s="28"/>
      <c r="I116" s="28"/>
      <c r="J116" s="28"/>
      <c r="K116" s="28"/>
      <c r="L116" s="28"/>
      <c r="M116" s="28"/>
    </row>
    <row r="117" spans="2:13" ht="15" customHeight="1">
      <c r="B117" s="28"/>
      <c r="C117" s="5"/>
      <c r="D117" s="5"/>
      <c r="E117" s="5"/>
      <c r="F117" s="5"/>
      <c r="G117" s="28"/>
      <c r="H117" s="28"/>
      <c r="I117" s="28"/>
      <c r="J117" s="28"/>
      <c r="K117" s="28"/>
      <c r="L117" s="28"/>
      <c r="M117" s="28"/>
    </row>
    <row r="118" spans="2:13" ht="15" customHeight="1">
      <c r="B118" s="28"/>
      <c r="C118" s="5"/>
      <c r="D118" s="5"/>
      <c r="E118" s="5"/>
      <c r="F118" s="5"/>
      <c r="G118" s="28"/>
      <c r="H118" s="28"/>
      <c r="I118" s="28"/>
      <c r="J118" s="28"/>
      <c r="K118" s="28"/>
      <c r="L118" s="28"/>
      <c r="M118" s="28"/>
    </row>
    <row r="119" spans="2:13" ht="15" customHeight="1">
      <c r="B119" s="28"/>
      <c r="C119" s="5"/>
      <c r="D119" s="5"/>
      <c r="E119" s="5"/>
      <c r="F119" s="5"/>
      <c r="G119" s="28"/>
      <c r="H119" s="28"/>
      <c r="I119" s="28"/>
      <c r="J119" s="28"/>
      <c r="K119" s="28"/>
      <c r="L119" s="28"/>
      <c r="M119" s="28"/>
    </row>
    <row r="120" spans="2:13" ht="15" customHeight="1">
      <c r="B120" s="28"/>
      <c r="C120" s="5"/>
      <c r="D120" s="5"/>
      <c r="E120" s="5"/>
      <c r="F120" s="5"/>
      <c r="G120" s="28"/>
      <c r="H120" s="28"/>
      <c r="I120" s="28"/>
      <c r="J120" s="28"/>
      <c r="K120" s="28"/>
      <c r="L120" s="28"/>
      <c r="M120" s="28"/>
    </row>
    <row r="121" spans="2:13" ht="15" customHeight="1">
      <c r="B121" s="28"/>
      <c r="C121" s="5"/>
      <c r="D121" s="5"/>
      <c r="E121" s="5"/>
      <c r="F121" s="5"/>
      <c r="G121" s="28"/>
      <c r="H121" s="28"/>
      <c r="I121" s="28"/>
      <c r="J121" s="28"/>
      <c r="K121" s="28"/>
      <c r="L121" s="28"/>
      <c r="M121" s="28"/>
    </row>
    <row r="122" spans="2:13">
      <c r="B122" s="28"/>
      <c r="C122" s="5"/>
      <c r="D122" s="5"/>
      <c r="E122" s="5"/>
      <c r="F122" s="5"/>
      <c r="G122" s="28"/>
      <c r="H122" s="28"/>
      <c r="I122" s="28"/>
      <c r="J122" s="28"/>
      <c r="K122" s="28"/>
      <c r="L122" s="28"/>
      <c r="M122" s="28"/>
    </row>
    <row r="123" spans="2:13">
      <c r="B123" s="28"/>
      <c r="C123" s="5"/>
      <c r="D123" s="5"/>
      <c r="E123" s="5"/>
      <c r="F123" s="5"/>
      <c r="G123" s="28"/>
      <c r="H123" s="28"/>
      <c r="I123" s="28"/>
      <c r="J123" s="28"/>
      <c r="K123" s="28"/>
      <c r="L123" s="28"/>
      <c r="M123" s="28"/>
    </row>
    <row r="124" spans="2:13">
      <c r="B124" s="28"/>
      <c r="C124" s="5"/>
      <c r="D124" s="5"/>
      <c r="E124" s="5"/>
      <c r="F124" s="5"/>
      <c r="G124" s="28"/>
      <c r="H124" s="28"/>
      <c r="I124" s="28"/>
      <c r="J124" s="28"/>
      <c r="K124" s="28"/>
      <c r="L124" s="28"/>
      <c r="M124" s="28"/>
    </row>
    <row r="125" spans="2:13">
      <c r="B125" s="28"/>
      <c r="C125" s="5"/>
      <c r="D125" s="5"/>
      <c r="E125" s="5"/>
      <c r="F125" s="5"/>
      <c r="G125" s="28"/>
      <c r="H125" s="28"/>
      <c r="I125" s="28"/>
      <c r="J125" s="28"/>
      <c r="K125" s="28"/>
      <c r="L125" s="28"/>
      <c r="M125" s="28"/>
    </row>
    <row r="126" spans="2:13">
      <c r="B126" s="28"/>
      <c r="C126" s="5"/>
      <c r="D126" s="5"/>
      <c r="E126" s="5"/>
      <c r="F126" s="5"/>
      <c r="G126" s="28"/>
      <c r="H126" s="28"/>
      <c r="I126" s="28"/>
      <c r="J126" s="28"/>
      <c r="K126" s="28"/>
      <c r="L126" s="28"/>
      <c r="M126" s="28"/>
    </row>
    <row r="127" spans="2:13">
      <c r="B127" s="28"/>
      <c r="C127" s="5"/>
      <c r="D127" s="5"/>
      <c r="E127" s="5"/>
      <c r="F127" s="5"/>
      <c r="G127" s="28"/>
      <c r="H127" s="28"/>
      <c r="I127" s="28"/>
      <c r="J127" s="28"/>
      <c r="K127" s="28"/>
      <c r="L127" s="28"/>
      <c r="M127" s="28"/>
    </row>
    <row r="128" spans="2:13">
      <c r="B128" s="28"/>
      <c r="C128" s="5"/>
      <c r="D128" s="5"/>
      <c r="E128" s="5"/>
      <c r="F128" s="5"/>
      <c r="G128" s="28"/>
      <c r="H128" s="28"/>
      <c r="I128" s="28"/>
      <c r="J128" s="28"/>
      <c r="K128" s="28"/>
      <c r="L128" s="28"/>
      <c r="M128" s="28"/>
    </row>
    <row r="129" spans="2:13">
      <c r="B129" s="28"/>
      <c r="C129" s="5"/>
      <c r="D129" s="5"/>
      <c r="E129" s="5"/>
      <c r="F129" s="5"/>
      <c r="G129" s="28"/>
      <c r="H129" s="28"/>
      <c r="I129" s="28"/>
      <c r="J129" s="28"/>
      <c r="K129" s="28"/>
      <c r="L129" s="28"/>
      <c r="M129" s="28"/>
    </row>
    <row r="130" spans="2:13">
      <c r="B130" s="28"/>
      <c r="C130" s="5"/>
      <c r="D130" s="5"/>
      <c r="E130" s="5"/>
      <c r="F130" s="5"/>
      <c r="G130" s="28"/>
      <c r="H130" s="28"/>
      <c r="I130" s="28"/>
      <c r="J130" s="28"/>
      <c r="K130" s="28"/>
      <c r="L130" s="28"/>
      <c r="M130" s="28"/>
    </row>
    <row r="131" spans="2:13">
      <c r="B131" s="28"/>
      <c r="C131" s="5"/>
      <c r="D131" s="5"/>
      <c r="E131" s="5"/>
      <c r="F131" s="5"/>
      <c r="G131" s="28"/>
      <c r="H131" s="28"/>
      <c r="I131" s="28"/>
      <c r="J131" s="28"/>
      <c r="K131" s="28"/>
      <c r="L131" s="28"/>
      <c r="M131" s="28"/>
    </row>
    <row r="132" spans="2:13">
      <c r="B132" s="28"/>
      <c r="C132" s="5"/>
      <c r="D132" s="5"/>
      <c r="E132" s="5"/>
      <c r="F132" s="5"/>
      <c r="G132" s="28"/>
      <c r="H132" s="28"/>
      <c r="I132" s="28"/>
      <c r="J132" s="28"/>
      <c r="K132" s="28"/>
      <c r="L132" s="28"/>
      <c r="M132" s="28"/>
    </row>
    <row r="133" spans="2:13">
      <c r="B133" s="28"/>
      <c r="C133" s="5"/>
      <c r="D133" s="5"/>
      <c r="E133" s="5"/>
      <c r="F133" s="5"/>
      <c r="G133" s="28"/>
      <c r="H133" s="28"/>
      <c r="I133" s="28"/>
      <c r="J133" s="28"/>
      <c r="K133" s="28"/>
      <c r="L133" s="28"/>
      <c r="M133" s="28"/>
    </row>
    <row r="134" spans="2:13">
      <c r="B134" s="28"/>
      <c r="C134" s="5"/>
      <c r="D134" s="5"/>
      <c r="E134" s="5"/>
      <c r="F134" s="5"/>
      <c r="G134" s="28"/>
      <c r="H134" s="28"/>
      <c r="I134" s="28"/>
      <c r="J134" s="28"/>
      <c r="K134" s="28"/>
      <c r="L134" s="28"/>
      <c r="M134" s="28"/>
    </row>
    <row r="135" spans="2:13">
      <c r="B135" s="28"/>
      <c r="C135" s="5"/>
      <c r="D135" s="5"/>
      <c r="E135" s="5"/>
      <c r="F135" s="5"/>
      <c r="G135" s="28"/>
      <c r="H135" s="28"/>
      <c r="I135" s="28"/>
      <c r="J135" s="28"/>
      <c r="K135" s="28"/>
      <c r="L135" s="28"/>
      <c r="M135" s="28"/>
    </row>
    <row r="136" spans="2:13">
      <c r="B136" s="28"/>
      <c r="C136" s="5"/>
      <c r="D136" s="5"/>
      <c r="E136" s="5"/>
      <c r="F136" s="5"/>
      <c r="G136" s="28"/>
      <c r="H136" s="28"/>
      <c r="I136" s="28"/>
      <c r="J136" s="28"/>
      <c r="K136" s="28"/>
      <c r="L136" s="28"/>
      <c r="M136" s="28"/>
    </row>
    <row r="137" spans="2:13">
      <c r="B137" s="28"/>
      <c r="C137" s="5"/>
      <c r="D137" s="5"/>
      <c r="E137" s="5"/>
      <c r="F137" s="5"/>
      <c r="G137" s="28"/>
      <c r="H137" s="28"/>
      <c r="I137" s="28"/>
      <c r="J137" s="28"/>
      <c r="K137" s="28"/>
      <c r="L137" s="28"/>
      <c r="M137" s="28"/>
    </row>
    <row r="138" spans="2:13">
      <c r="B138" s="28"/>
      <c r="C138" s="5"/>
      <c r="D138" s="5"/>
      <c r="E138" s="5"/>
      <c r="F138" s="5"/>
      <c r="G138" s="28"/>
      <c r="H138" s="28"/>
      <c r="I138" s="28"/>
      <c r="J138" s="28"/>
      <c r="K138" s="28"/>
      <c r="L138" s="28"/>
      <c r="M138" s="28"/>
    </row>
    <row r="139" spans="2:13">
      <c r="B139" s="28"/>
      <c r="C139" s="5"/>
      <c r="D139" s="5"/>
      <c r="E139" s="5"/>
      <c r="F139" s="5"/>
      <c r="G139" s="28"/>
      <c r="H139" s="28"/>
      <c r="I139" s="28"/>
      <c r="J139" s="28"/>
      <c r="K139" s="28"/>
      <c r="L139" s="28"/>
      <c r="M139" s="28"/>
    </row>
    <row r="140" spans="2:13">
      <c r="B140" s="28"/>
      <c r="C140" s="5"/>
      <c r="D140" s="5"/>
      <c r="E140" s="5"/>
      <c r="F140" s="5"/>
      <c r="G140" s="28"/>
      <c r="H140" s="28"/>
      <c r="I140" s="28"/>
      <c r="J140" s="28"/>
      <c r="K140" s="28"/>
      <c r="L140" s="28"/>
      <c r="M140" s="28"/>
    </row>
    <row r="141" spans="2:13">
      <c r="B141" s="28"/>
      <c r="C141" s="5"/>
      <c r="D141" s="5"/>
      <c r="E141" s="5"/>
      <c r="F141" s="5"/>
      <c r="G141" s="28"/>
      <c r="H141" s="28"/>
      <c r="I141" s="28"/>
      <c r="J141" s="28"/>
      <c r="K141" s="28"/>
      <c r="L141" s="28"/>
      <c r="M141" s="28"/>
    </row>
    <row r="142" spans="2:13">
      <c r="B142" s="28"/>
      <c r="C142" s="5"/>
      <c r="D142" s="5"/>
      <c r="E142" s="5"/>
      <c r="F142" s="5"/>
      <c r="G142" s="28"/>
      <c r="H142" s="28"/>
      <c r="I142" s="28"/>
      <c r="J142" s="28"/>
      <c r="K142" s="28"/>
      <c r="L142" s="28"/>
      <c r="M142" s="28"/>
    </row>
    <row r="143" spans="2:13">
      <c r="B143" s="28"/>
      <c r="C143" s="5"/>
      <c r="D143" s="5"/>
      <c r="E143" s="5"/>
      <c r="F143" s="5"/>
      <c r="G143" s="28"/>
      <c r="H143" s="28"/>
      <c r="I143" s="28"/>
      <c r="J143" s="28"/>
      <c r="K143" s="28"/>
      <c r="L143" s="28"/>
      <c r="M143" s="28"/>
    </row>
    <row r="144" spans="2:13">
      <c r="B144" s="28"/>
      <c r="C144" s="5"/>
      <c r="D144" s="5"/>
      <c r="E144" s="5"/>
      <c r="F144" s="5"/>
      <c r="G144" s="28"/>
      <c r="H144" s="28"/>
      <c r="I144" s="28"/>
      <c r="J144" s="28"/>
      <c r="K144" s="28"/>
      <c r="L144" s="28"/>
      <c r="M144" s="28"/>
    </row>
    <row r="145" spans="2:13">
      <c r="B145" s="28"/>
      <c r="C145" s="5"/>
      <c r="D145" s="5"/>
      <c r="E145" s="5"/>
      <c r="F145" s="5"/>
      <c r="G145" s="28"/>
      <c r="H145" s="28"/>
      <c r="I145" s="28"/>
      <c r="J145" s="28"/>
      <c r="K145" s="28"/>
      <c r="L145" s="28"/>
      <c r="M145" s="28"/>
    </row>
    <row r="146" spans="2:13">
      <c r="B146" s="28"/>
      <c r="C146" s="5"/>
      <c r="D146" s="5"/>
      <c r="E146" s="5"/>
      <c r="F146" s="5"/>
      <c r="G146" s="28"/>
      <c r="H146" s="28"/>
      <c r="I146" s="28"/>
      <c r="J146" s="28"/>
      <c r="K146" s="28"/>
      <c r="L146" s="28"/>
      <c r="M146" s="28"/>
    </row>
    <row r="147" spans="2:13">
      <c r="B147" s="28"/>
      <c r="C147" s="5"/>
      <c r="D147" s="5"/>
      <c r="E147" s="5"/>
      <c r="F147" s="5"/>
      <c r="G147" s="28"/>
      <c r="H147" s="28"/>
      <c r="I147" s="28"/>
      <c r="J147" s="28"/>
      <c r="K147" s="28"/>
      <c r="L147" s="28"/>
      <c r="M147" s="28"/>
    </row>
    <row r="148" spans="2:13">
      <c r="B148" s="28"/>
      <c r="C148" s="5"/>
      <c r="D148" s="5"/>
      <c r="E148" s="5"/>
      <c r="F148" s="5"/>
      <c r="G148" s="28"/>
      <c r="H148" s="28"/>
      <c r="I148" s="28"/>
      <c r="J148" s="28"/>
      <c r="K148" s="28"/>
      <c r="L148" s="28"/>
      <c r="M148" s="28"/>
    </row>
    <row r="149" spans="2:13">
      <c r="B149" s="28"/>
      <c r="C149" s="5"/>
      <c r="D149" s="5"/>
      <c r="E149" s="5"/>
      <c r="F149" s="5"/>
      <c r="G149" s="28"/>
      <c r="H149" s="28"/>
      <c r="I149" s="28"/>
      <c r="J149" s="28"/>
      <c r="K149" s="28"/>
      <c r="L149" s="28"/>
      <c r="M149" s="28"/>
    </row>
    <row r="150" spans="2:13">
      <c r="B150" s="28"/>
      <c r="C150" s="5"/>
      <c r="D150" s="5"/>
      <c r="E150" s="5"/>
      <c r="F150" s="5"/>
      <c r="G150" s="28"/>
      <c r="H150" s="28"/>
      <c r="I150" s="28"/>
      <c r="J150" s="28"/>
      <c r="K150" s="28"/>
      <c r="L150" s="28"/>
      <c r="M150" s="28"/>
    </row>
    <row r="151" spans="2:13">
      <c r="B151" s="28"/>
      <c r="C151" s="5"/>
      <c r="D151" s="5"/>
      <c r="E151" s="5"/>
      <c r="F151" s="5"/>
      <c r="G151" s="28"/>
      <c r="H151" s="28"/>
      <c r="I151" s="28"/>
      <c r="J151" s="28"/>
      <c r="K151" s="28"/>
      <c r="L151" s="28"/>
      <c r="M151" s="28"/>
    </row>
    <row r="152" spans="2:13">
      <c r="B152" s="28"/>
      <c r="C152" s="5"/>
      <c r="D152" s="5"/>
      <c r="E152" s="5"/>
      <c r="F152" s="5"/>
      <c r="G152" s="28"/>
      <c r="H152" s="28"/>
      <c r="I152" s="28"/>
      <c r="J152" s="28"/>
      <c r="K152" s="28"/>
      <c r="L152" s="28"/>
      <c r="M152" s="28"/>
    </row>
    <row r="153" spans="2:13">
      <c r="B153" s="28"/>
      <c r="C153" s="5"/>
      <c r="D153" s="5"/>
      <c r="E153" s="5"/>
      <c r="F153" s="5"/>
      <c r="G153" s="28"/>
      <c r="H153" s="28"/>
      <c r="I153" s="28"/>
      <c r="J153" s="28"/>
      <c r="K153" s="28"/>
      <c r="L153" s="28"/>
      <c r="M153" s="28"/>
    </row>
    <row r="154" spans="2:13">
      <c r="B154" s="28"/>
      <c r="C154" s="5"/>
      <c r="D154" s="5"/>
      <c r="E154" s="5"/>
      <c r="F154" s="5"/>
      <c r="G154" s="28"/>
      <c r="H154" s="28"/>
      <c r="I154" s="28"/>
      <c r="J154" s="28"/>
      <c r="K154" s="28"/>
      <c r="L154" s="28"/>
      <c r="M154" s="28"/>
    </row>
    <row r="155" spans="2:13">
      <c r="B155" s="28"/>
      <c r="C155" s="5"/>
      <c r="D155" s="5"/>
      <c r="E155" s="5"/>
      <c r="F155" s="5"/>
      <c r="G155" s="28"/>
      <c r="H155" s="28"/>
      <c r="I155" s="28"/>
      <c r="J155" s="28"/>
      <c r="K155" s="28"/>
      <c r="L155" s="28"/>
      <c r="M155" s="28"/>
    </row>
    <row r="156" spans="2:13">
      <c r="B156" s="28"/>
      <c r="C156" s="5"/>
      <c r="D156" s="5"/>
      <c r="E156" s="5"/>
      <c r="F156" s="5"/>
      <c r="G156" s="28"/>
      <c r="H156" s="28"/>
      <c r="I156" s="28"/>
      <c r="J156" s="28"/>
      <c r="K156" s="28"/>
      <c r="L156" s="28"/>
      <c r="M156" s="28"/>
    </row>
    <row r="157" spans="2:13">
      <c r="B157" s="28"/>
      <c r="C157" s="5"/>
      <c r="D157" s="5"/>
      <c r="E157" s="5"/>
      <c r="F157" s="5"/>
      <c r="G157" s="28"/>
      <c r="H157" s="28"/>
      <c r="I157" s="28"/>
      <c r="J157" s="28"/>
      <c r="K157" s="28"/>
      <c r="L157" s="28"/>
      <c r="M157" s="28"/>
    </row>
    <row r="158" spans="2:13">
      <c r="B158" s="28"/>
      <c r="C158" s="5"/>
      <c r="D158" s="5"/>
      <c r="E158" s="5"/>
      <c r="F158" s="5"/>
      <c r="G158" s="28"/>
      <c r="H158" s="28"/>
      <c r="I158" s="28"/>
      <c r="J158" s="28"/>
      <c r="K158" s="28"/>
      <c r="L158" s="28"/>
      <c r="M158" s="28"/>
    </row>
    <row r="159" spans="2:13">
      <c r="B159" s="28"/>
      <c r="C159" s="5"/>
      <c r="D159" s="5"/>
      <c r="E159" s="5"/>
      <c r="F159" s="5"/>
      <c r="G159" s="28"/>
      <c r="H159" s="28"/>
      <c r="I159" s="28"/>
      <c r="J159" s="28"/>
      <c r="K159" s="28"/>
      <c r="L159" s="28"/>
      <c r="M159" s="28"/>
    </row>
    <row r="160" spans="2:13">
      <c r="B160" s="28"/>
      <c r="C160" s="5"/>
      <c r="D160" s="5"/>
      <c r="E160" s="5"/>
      <c r="F160" s="5"/>
      <c r="G160" s="28"/>
      <c r="H160" s="28"/>
      <c r="I160" s="28"/>
      <c r="J160" s="28"/>
      <c r="K160" s="28"/>
      <c r="L160" s="28"/>
      <c r="M160" s="28"/>
    </row>
    <row r="161" spans="2:13">
      <c r="B161" s="28"/>
      <c r="C161" s="5"/>
      <c r="D161" s="5"/>
      <c r="E161" s="5"/>
      <c r="F161" s="5"/>
      <c r="G161" s="28"/>
      <c r="H161" s="28"/>
      <c r="I161" s="28"/>
      <c r="J161" s="28"/>
      <c r="K161" s="28"/>
      <c r="L161" s="28"/>
      <c r="M161" s="28"/>
    </row>
    <row r="162" spans="2:13">
      <c r="B162" s="28"/>
      <c r="C162" s="5"/>
      <c r="D162" s="5"/>
      <c r="E162" s="5"/>
      <c r="F162" s="5"/>
      <c r="G162" s="28"/>
      <c r="H162" s="28"/>
      <c r="I162" s="28"/>
      <c r="J162" s="28"/>
      <c r="K162" s="28"/>
      <c r="L162" s="28"/>
      <c r="M162" s="28"/>
    </row>
    <row r="163" spans="2:13">
      <c r="B163" s="28"/>
      <c r="C163" s="5"/>
      <c r="D163" s="5"/>
      <c r="E163" s="5"/>
      <c r="F163" s="5"/>
      <c r="G163" s="28"/>
      <c r="H163" s="28"/>
      <c r="I163" s="28"/>
      <c r="J163" s="28"/>
      <c r="K163" s="28"/>
      <c r="L163" s="28"/>
      <c r="M163" s="28"/>
    </row>
    <row r="164" spans="2:13">
      <c r="B164" s="28"/>
      <c r="C164" s="5"/>
      <c r="D164" s="5"/>
      <c r="E164" s="5"/>
      <c r="F164" s="5"/>
      <c r="G164" s="28"/>
      <c r="H164" s="28"/>
      <c r="I164" s="28"/>
      <c r="J164" s="28"/>
      <c r="K164" s="28"/>
      <c r="L164" s="28"/>
      <c r="M164" s="28"/>
    </row>
    <row r="165" spans="2:13">
      <c r="B165" s="28"/>
      <c r="C165" s="5"/>
      <c r="D165" s="5"/>
      <c r="E165" s="5"/>
      <c r="F165" s="5"/>
      <c r="G165" s="28"/>
      <c r="H165" s="28"/>
      <c r="I165" s="28"/>
      <c r="J165" s="28"/>
      <c r="K165" s="28"/>
      <c r="L165" s="28"/>
      <c r="M165" s="28"/>
    </row>
    <row r="166" spans="2:13">
      <c r="B166" s="28"/>
      <c r="C166" s="5"/>
      <c r="D166" s="5"/>
      <c r="E166" s="5"/>
      <c r="F166" s="5"/>
      <c r="G166" s="28"/>
      <c r="H166" s="28"/>
      <c r="I166" s="28"/>
      <c r="J166" s="28"/>
      <c r="K166" s="28"/>
      <c r="L166" s="28"/>
      <c r="M166" s="28"/>
    </row>
    <row r="167" spans="2:13">
      <c r="B167" s="28"/>
      <c r="C167" s="5"/>
      <c r="D167" s="5"/>
      <c r="E167" s="5"/>
      <c r="F167" s="5"/>
      <c r="G167" s="28"/>
      <c r="H167" s="28"/>
      <c r="I167" s="28"/>
      <c r="J167" s="28"/>
      <c r="K167" s="28"/>
      <c r="L167" s="28"/>
      <c r="M167" s="28"/>
    </row>
    <row r="168" spans="2:13">
      <c r="B168" s="28"/>
      <c r="C168" s="5"/>
      <c r="D168" s="5"/>
      <c r="E168" s="5"/>
      <c r="F168" s="5"/>
      <c r="G168" s="28"/>
      <c r="H168" s="28"/>
      <c r="I168" s="28"/>
      <c r="J168" s="28"/>
      <c r="K168" s="28"/>
      <c r="L168" s="28"/>
      <c r="M168" s="28"/>
    </row>
    <row r="169" spans="2:13">
      <c r="B169" s="28"/>
      <c r="C169" s="5"/>
      <c r="D169" s="5"/>
      <c r="E169" s="5"/>
      <c r="F169" s="5"/>
      <c r="G169" s="28"/>
      <c r="H169" s="28"/>
      <c r="I169" s="28"/>
      <c r="J169" s="28"/>
      <c r="K169" s="28"/>
      <c r="L169" s="28"/>
      <c r="M169" s="28"/>
    </row>
    <row r="170" spans="2:13">
      <c r="B170" s="28"/>
      <c r="C170" s="5"/>
      <c r="D170" s="5"/>
      <c r="E170" s="5"/>
      <c r="F170" s="5"/>
      <c r="G170" s="28"/>
      <c r="H170" s="28"/>
      <c r="I170" s="28"/>
      <c r="J170" s="28"/>
      <c r="K170" s="28"/>
      <c r="L170" s="28"/>
      <c r="M170" s="28"/>
    </row>
    <row r="171" spans="2:13">
      <c r="B171" s="28"/>
      <c r="C171" s="5"/>
      <c r="D171" s="5"/>
      <c r="E171" s="5"/>
      <c r="F171" s="5"/>
      <c r="G171" s="28"/>
      <c r="H171" s="28"/>
      <c r="I171" s="28"/>
      <c r="J171" s="28"/>
      <c r="K171" s="28"/>
      <c r="L171" s="28"/>
      <c r="M171" s="28"/>
    </row>
    <row r="172" spans="2:13">
      <c r="B172" s="28"/>
      <c r="C172" s="5"/>
      <c r="D172" s="5"/>
      <c r="E172" s="5"/>
      <c r="F172" s="5"/>
      <c r="G172" s="28"/>
      <c r="H172" s="28"/>
      <c r="I172" s="28"/>
      <c r="J172" s="28"/>
      <c r="K172" s="28"/>
      <c r="L172" s="28"/>
      <c r="M172" s="28"/>
    </row>
    <row r="173" spans="2:13">
      <c r="B173" s="28"/>
      <c r="C173" s="5"/>
      <c r="D173" s="5"/>
      <c r="E173" s="5"/>
      <c r="F173" s="5"/>
      <c r="G173" s="28"/>
      <c r="H173" s="28"/>
      <c r="I173" s="28"/>
      <c r="J173" s="28"/>
      <c r="K173" s="28"/>
      <c r="L173" s="28"/>
      <c r="M173" s="28"/>
    </row>
    <row r="174" spans="2:13">
      <c r="B174" s="28"/>
      <c r="C174" s="5"/>
      <c r="D174" s="5"/>
      <c r="E174" s="5"/>
      <c r="F174" s="5"/>
      <c r="G174" s="28"/>
      <c r="H174" s="28"/>
      <c r="I174" s="28"/>
      <c r="J174" s="28"/>
      <c r="K174" s="28"/>
      <c r="L174" s="28"/>
      <c r="M174" s="28"/>
    </row>
    <row r="175" spans="2:13">
      <c r="B175" s="28"/>
      <c r="C175" s="5"/>
      <c r="D175" s="5"/>
      <c r="E175" s="5"/>
      <c r="F175" s="5"/>
      <c r="G175" s="28"/>
      <c r="H175" s="28"/>
      <c r="I175" s="28"/>
      <c r="J175" s="28"/>
      <c r="K175" s="28"/>
      <c r="L175" s="28"/>
      <c r="M175" s="28"/>
    </row>
    <row r="176" spans="2:13">
      <c r="B176" s="28"/>
      <c r="C176" s="5"/>
      <c r="D176" s="5"/>
      <c r="E176" s="5"/>
      <c r="F176" s="5"/>
      <c r="G176" s="28"/>
      <c r="H176" s="28"/>
      <c r="I176" s="28"/>
      <c r="J176" s="28"/>
      <c r="K176" s="28"/>
      <c r="L176" s="28"/>
      <c r="M176" s="28"/>
    </row>
    <row r="177" spans="2:13">
      <c r="B177" s="28"/>
      <c r="C177" s="5"/>
      <c r="D177" s="5"/>
      <c r="E177" s="5"/>
      <c r="F177" s="5"/>
      <c r="G177" s="28"/>
      <c r="H177" s="28"/>
      <c r="I177" s="28"/>
      <c r="J177" s="28"/>
      <c r="K177" s="28"/>
      <c r="L177" s="28"/>
      <c r="M177" s="28"/>
    </row>
    <row r="178" spans="2:13">
      <c r="B178" s="28"/>
      <c r="C178" s="5"/>
      <c r="D178" s="5"/>
      <c r="E178" s="5"/>
      <c r="F178" s="5"/>
      <c r="G178" s="28"/>
      <c r="H178" s="28"/>
      <c r="I178" s="28"/>
      <c r="J178" s="28"/>
      <c r="K178" s="28"/>
      <c r="L178" s="28"/>
      <c r="M178" s="28"/>
    </row>
    <row r="179" spans="2:13">
      <c r="B179" s="28"/>
      <c r="C179" s="5"/>
      <c r="D179" s="5"/>
      <c r="E179" s="5"/>
      <c r="F179" s="5"/>
      <c r="G179" s="28"/>
      <c r="H179" s="28"/>
      <c r="I179" s="28"/>
      <c r="J179" s="28"/>
      <c r="K179" s="28"/>
      <c r="L179" s="28"/>
      <c r="M179" s="28"/>
    </row>
    <row r="180" spans="2:13">
      <c r="B180" s="28"/>
      <c r="C180" s="5"/>
      <c r="D180" s="5"/>
      <c r="E180" s="5"/>
      <c r="F180" s="5"/>
      <c r="G180" s="28"/>
      <c r="H180" s="28"/>
      <c r="I180" s="28"/>
      <c r="J180" s="28"/>
      <c r="K180" s="28"/>
      <c r="L180" s="28"/>
      <c r="M180" s="28"/>
    </row>
    <row r="181" spans="2:13">
      <c r="B181" s="28"/>
      <c r="C181" s="5"/>
      <c r="D181" s="5"/>
      <c r="E181" s="5"/>
      <c r="F181" s="5"/>
      <c r="G181" s="28"/>
      <c r="H181" s="28"/>
      <c r="I181" s="28"/>
      <c r="J181" s="28"/>
      <c r="K181" s="28"/>
      <c r="L181" s="28"/>
      <c r="M181" s="28"/>
    </row>
    <row r="182" spans="2:13">
      <c r="M182" s="28"/>
    </row>
    <row r="183" spans="2:13">
      <c r="M183" s="28"/>
    </row>
    <row r="184" spans="2:13">
      <c r="M184" s="28"/>
    </row>
    <row r="185" spans="2:13">
      <c r="M185" s="28"/>
    </row>
    <row r="186" spans="2:13">
      <c r="M186" s="28"/>
    </row>
    <row r="187" spans="2:13">
      <c r="M187" s="28"/>
    </row>
    <row r="759" spans="3:4">
      <c r="C759" s="8"/>
      <c r="D759" s="8"/>
    </row>
    <row r="760" spans="3:4">
      <c r="C760" s="8"/>
      <c r="D760" s="8"/>
    </row>
    <row r="761" spans="3:4">
      <c r="C761" s="8"/>
      <c r="D761" s="8"/>
    </row>
    <row r="762" spans="3:4">
      <c r="C762" s="8"/>
      <c r="D762" s="8"/>
    </row>
    <row r="763" spans="3:4">
      <c r="C763" s="8"/>
      <c r="D763" s="8"/>
    </row>
    <row r="8795" spans="10:30">
      <c r="J8795" s="3"/>
      <c r="K8795" s="4"/>
      <c r="L8795" s="4"/>
    </row>
    <row r="8800" spans="10:30">
      <c r="M8800" s="4"/>
      <c r="S8800" s="4"/>
      <c r="T8800" s="4"/>
      <c r="U8800" s="4"/>
      <c r="V8800" s="4"/>
      <c r="W8800" s="4"/>
      <c r="X8800" s="4"/>
      <c r="Y8800" s="4"/>
      <c r="Z8800" s="4"/>
      <c r="AA8800" s="4"/>
      <c r="AB8800" s="4"/>
      <c r="AC8800" s="4"/>
      <c r="AD8800" s="4"/>
    </row>
    <row r="8801" spans="14:18">
      <c r="N8801" s="4"/>
      <c r="O8801" s="4"/>
      <c r="P8801" s="4"/>
      <c r="Q8801" s="4"/>
      <c r="R8801" s="4"/>
    </row>
  </sheetData>
  <sheetProtection algorithmName="SHA-512" hashValue="itW4teiajyihlv+VfmZt14r0dMRw2dN4lLXgIhKqk0/tNdmmxLpMSxmDlV9cZzK9job8ecrXhBDmhHRyiXcnLw==" saltValue="9VyL+TZHfWVD1fLZygqqDA==" spinCount="100000" sheet="1" objects="1" scenarios="1" selectLockedCells="1"/>
  <mergeCells count="18">
    <mergeCell ref="N19:N20"/>
    <mergeCell ref="C10:E10"/>
    <mergeCell ref="D12:E12"/>
    <mergeCell ref="C18:E18"/>
    <mergeCell ref="I20:K20"/>
    <mergeCell ref="C20:E20"/>
    <mergeCell ref="D7:E7"/>
    <mergeCell ref="D8:E8"/>
    <mergeCell ref="D31:E31"/>
    <mergeCell ref="D32:E32"/>
    <mergeCell ref="C11:E11"/>
    <mergeCell ref="C24:E24"/>
    <mergeCell ref="C25:E25"/>
    <mergeCell ref="I24:K24"/>
    <mergeCell ref="N21:N22"/>
    <mergeCell ref="C21:E21"/>
    <mergeCell ref="C35:E35"/>
    <mergeCell ref="C36:E36"/>
  </mergeCells>
  <pageMargins left="0.7" right="0.7" top="0.78740157499999996" bottom="0.78740157499999996" header="0.3" footer="0.3"/>
  <pageSetup paperSize="9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31</vt:i4>
      </vt:variant>
    </vt:vector>
  </HeadingPairs>
  <TitlesOfParts>
    <vt:vector size="32" baseType="lpstr">
      <vt:lpstr>Navigation</vt:lpstr>
      <vt:lpstr>_A1</vt:lpstr>
      <vt:lpstr>_A2</vt:lpstr>
      <vt:lpstr>_A3</vt:lpstr>
      <vt:lpstr>_A4</vt:lpstr>
      <vt:lpstr>_B1</vt:lpstr>
      <vt:lpstr>_B2</vt:lpstr>
      <vt:lpstr>_B3</vt:lpstr>
      <vt:lpstr>_B4</vt:lpstr>
      <vt:lpstr>_ot</vt:lpstr>
      <vt:lpstr>_T1</vt:lpstr>
      <vt:lpstr>_T2</vt:lpstr>
      <vt:lpstr>_T3</vt:lpstr>
      <vt:lpstr>_T4</vt:lpstr>
      <vt:lpstr>d</vt:lpstr>
      <vt:lpstr>d_</vt:lpstr>
      <vt:lpstr>dat</vt:lpstr>
      <vt:lpstr>dat_</vt:lpstr>
      <vt:lpstr>dir</vt:lpstr>
      <vt:lpstr>Grt</vt:lpstr>
      <vt:lpstr>Grt_</vt:lpstr>
      <vt:lpstr>h</vt:lpstr>
      <vt:lpstr>h_</vt:lpstr>
      <vt:lpstr>latrange</vt:lpstr>
      <vt:lpstr>LHA</vt:lpstr>
      <vt:lpstr>noon1</vt:lpstr>
      <vt:lpstr>noon2</vt:lpstr>
      <vt:lpstr>noondat</vt:lpstr>
      <vt:lpstr>ot</vt:lpstr>
      <vt:lpstr>ot_</vt:lpstr>
      <vt:lpstr>ref</vt:lpstr>
      <vt:lpstr>Uhrzeit_UTC_h_min_s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Helmut Hoffrichter</dc:creator>
  <cp:lastModifiedBy>Helmut Hoffrichter</cp:lastModifiedBy>
  <cp:lastPrinted>2016-12-10T12:53:38Z</cp:lastPrinted>
  <dcterms:created xsi:type="dcterms:W3CDTF">2016-06-28T17:20:47Z</dcterms:created>
  <dcterms:modified xsi:type="dcterms:W3CDTF">2025-05-28T15:32:07Z</dcterms:modified>
</cp:coreProperties>
</file>