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83869313-D57D-4C4A-AA33-05F4D1C23C23}" xr6:coauthVersionLast="36" xr6:coauthVersionMax="36" xr10:uidLastSave="{00000000-0000-0000-0000-000000000000}"/>
  <bookViews>
    <workbookView xWindow="7420" yWindow="3180" windowWidth="10000" windowHeight="15140" tabRatio="500" xr2:uid="{00000000-000D-0000-FFFF-FFFF00000000}"/>
  </bookViews>
  <sheets>
    <sheet name="Navigation" sheetId="1" r:id="rId1"/>
  </sheets>
  <definedNames>
    <definedName name="_A1">Navigation!$N$27</definedName>
    <definedName name="_A2">Navigation!$N$28</definedName>
    <definedName name="_A3">Navigation!$N$29</definedName>
    <definedName name="_A4">Navigation!$N$30</definedName>
    <definedName name="_B1">Navigation!$N$32</definedName>
    <definedName name="_B2">Navigation!$N$33</definedName>
    <definedName name="_B3">Navigation!$N$34</definedName>
    <definedName name="_B4">Navigation!$N$35</definedName>
    <definedName name="_c">Navigation!$H$17</definedName>
    <definedName name="_d">Navigation!$C$17</definedName>
    <definedName name="_oz1">Navigation!$G$13</definedName>
    <definedName name="_oz2">Navigation!$G$21</definedName>
    <definedName name="_T1">Navigation!$Q$27</definedName>
    <definedName name="_T2">Navigation!$R$27</definedName>
    <definedName name="aza">Navigation!$X$8</definedName>
    <definedName name="Breite">Navigation!$AM$52</definedName>
    <definedName name="Breite°">Navigation!$AM$51</definedName>
    <definedName name="dat">Navigation!$G$12</definedName>
    <definedName name="dat_">Navigation!$G$20</definedName>
    <definedName name="deka">Navigation!$Q$38</definedName>
    <definedName name="dekb">Navigation!$R$38</definedName>
    <definedName name="dira">Navigation!$W$43</definedName>
    <definedName name="dirb">Navigation!$W$44</definedName>
    <definedName name="dt">Navigation!$AN$39</definedName>
    <definedName name="EW">Navigation!$W$41</definedName>
    <definedName name="Grta">Navigation!$Q$37</definedName>
    <definedName name="GRTA°">Navigation!$AM$55</definedName>
    <definedName name="grtb">Navigation!$R$37</definedName>
    <definedName name="hma">Navigation!$N$13</definedName>
    <definedName name="hma°">Navigation!$N$11</definedName>
    <definedName name="hmav">Navigation!$X$10</definedName>
    <definedName name="hmb">Navigation!$P$13</definedName>
    <definedName name="hmb°">Navigation!$P$11</definedName>
    <definedName name="Länge">Navigation!$AN$58</definedName>
    <definedName name="Länge°">Navigation!$AM$58</definedName>
    <definedName name="LHA">Navigation!$AN$38</definedName>
    <definedName name="ot">Navigation!$G$13</definedName>
    <definedName name="ot_">Navigation!$G$21</definedName>
    <definedName name="ref">Navigation!$N$37</definedName>
    <definedName name="TG">Navigation!$Y$42</definedName>
    <definedName name="U">Navigation!$X$26</definedName>
    <definedName name="vb">Navigation!$AV$9</definedName>
    <definedName name="vl">Navigation!$AV$10</definedName>
  </definedNames>
  <calcPr calcId="181029"/>
  <customWorkbookViews>
    <customWorkbookView name="Microsoft Office-Anwender - Persönliche Ansicht" guid="{C5C8DA39-C784-9F41-A13A-E8B47EB72839}" mergeInterval="0" personalView="1" windowWidth="1920" windowHeight="894" tabRatio="500" activeSheetId="1"/>
  </customWorkbookViews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Q27" i="1" l="1"/>
  <c r="Q28" i="1" s="1"/>
  <c r="N30" i="1"/>
  <c r="N29" i="1"/>
  <c r="N28" i="1"/>
  <c r="N27" i="1"/>
  <c r="Q29" i="1" l="1"/>
  <c r="Q30" i="1" s="1"/>
  <c r="Q31" i="1"/>
  <c r="Q34" i="1"/>
  <c r="X26" i="1"/>
  <c r="Q32" i="1" l="1"/>
  <c r="Q33" i="1" s="1"/>
  <c r="Q38" i="1" s="1"/>
  <c r="Q40" i="1" s="1"/>
  <c r="C60" i="1" s="1"/>
  <c r="D60" i="1" s="1"/>
  <c r="Y42" i="1"/>
  <c r="W42" i="1" s="1"/>
  <c r="G20" i="1"/>
  <c r="AB8" i="1" l="1"/>
  <c r="Q35" i="1"/>
  <c r="Q36" i="1" s="1"/>
  <c r="Q37" i="1" s="1"/>
  <c r="Q39" i="1" s="1"/>
  <c r="C59" i="1" s="1"/>
  <c r="D59" i="1" s="1"/>
  <c r="F20" i="1"/>
  <c r="R27" i="1"/>
  <c r="AN39" i="1"/>
  <c r="AM55" i="1" l="1"/>
  <c r="R34" i="1"/>
  <c r="R29" i="1"/>
  <c r="R28" i="1"/>
  <c r="R31" i="1"/>
  <c r="N7" i="1"/>
  <c r="N8" i="1" s="1"/>
  <c r="R30" i="1" l="1"/>
  <c r="R32" i="1" s="1"/>
  <c r="R33" i="1" s="1"/>
  <c r="R38" i="1" s="1"/>
  <c r="R40" i="1" s="1"/>
  <c r="C14" i="1"/>
  <c r="C22" i="1"/>
  <c r="R35" i="1" l="1"/>
  <c r="R36" i="1" s="1"/>
  <c r="R37" i="1" s="1"/>
  <c r="R39" i="1" s="1"/>
  <c r="F60" i="1"/>
  <c r="G60" i="1" s="1"/>
  <c r="AW13" i="1"/>
  <c r="AT10" i="1"/>
  <c r="AT9" i="1"/>
  <c r="AV9" i="1" s="1"/>
  <c r="AT8" i="1"/>
  <c r="AT7" i="1"/>
  <c r="F59" i="1" l="1"/>
  <c r="G59" i="1" s="1"/>
  <c r="E58" i="1"/>
  <c r="C58" i="1"/>
  <c r="P10" i="1" l="1"/>
  <c r="N10" i="1"/>
  <c r="P7" i="1"/>
  <c r="P8" i="1" s="1"/>
  <c r="T20" i="1"/>
  <c r="N9" i="1" s="1"/>
  <c r="N11" i="1" s="1"/>
  <c r="N13" i="1" s="1"/>
  <c r="X31" i="1" s="1"/>
  <c r="W31" i="1" s="1"/>
  <c r="S8" i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P9" i="1" l="1"/>
  <c r="P11" i="1" s="1"/>
  <c r="P13" i="1" l="1"/>
  <c r="X32" i="1" s="1"/>
  <c r="W32" i="1" s="1"/>
  <c r="P12" i="1"/>
  <c r="Q12" i="1" l="1"/>
  <c r="G63" i="1" s="1"/>
  <c r="F63" i="1"/>
  <c r="AN55" i="1" l="1"/>
  <c r="H2" i="1" l="1"/>
  <c r="F12" i="1" l="1"/>
  <c r="F13" i="1"/>
  <c r="N12" i="1" l="1"/>
  <c r="E15" i="1"/>
  <c r="F21" i="1"/>
  <c r="E23" i="1"/>
  <c r="O12" i="1" l="1"/>
  <c r="D63" i="1" s="1"/>
  <c r="C63" i="1"/>
  <c r="AB9" i="1" l="1"/>
  <c r="AB10" i="1" s="1"/>
  <c r="AB11" i="1" s="1"/>
  <c r="AB12" i="1" s="1"/>
  <c r="AB13" i="1" s="1"/>
  <c r="AB14" i="1" s="1"/>
  <c r="AB15" i="1" s="1"/>
  <c r="AB16" i="1" s="1"/>
  <c r="AB17" i="1" s="1"/>
  <c r="AB18" i="1" s="1"/>
  <c r="AB19" i="1" s="1"/>
  <c r="AB20" i="1" s="1"/>
  <c r="AB21" i="1" s="1"/>
  <c r="AB22" i="1" s="1"/>
  <c r="AB23" i="1" s="1"/>
  <c r="AB24" i="1" s="1"/>
  <c r="AB25" i="1" s="1"/>
  <c r="AB26" i="1" s="1"/>
  <c r="AB27" i="1" s="1"/>
  <c r="AB28" i="1" s="1"/>
  <c r="AB29" i="1" s="1"/>
  <c r="AB30" i="1" s="1"/>
  <c r="AB31" i="1" s="1"/>
  <c r="AB32" i="1" s="1"/>
  <c r="AB33" i="1" s="1"/>
  <c r="AB34" i="1" s="1"/>
  <c r="AB35" i="1" s="1"/>
  <c r="AB36" i="1" s="1"/>
  <c r="AB37" i="1" s="1"/>
  <c r="AB38" i="1" s="1"/>
  <c r="AB39" i="1" s="1"/>
  <c r="AB40" i="1" s="1"/>
  <c r="AB41" i="1" s="1"/>
  <c r="AB42" i="1" s="1"/>
  <c r="AB43" i="1" s="1"/>
  <c r="AB44" i="1" s="1"/>
  <c r="AB45" i="1" s="1"/>
  <c r="AB46" i="1" s="1"/>
  <c r="AB47" i="1" s="1"/>
  <c r="AB48" i="1" s="1"/>
  <c r="AB49" i="1" s="1"/>
  <c r="AB50" i="1" s="1"/>
  <c r="AB51" i="1" s="1"/>
  <c r="AB52" i="1" s="1"/>
  <c r="AB53" i="1" s="1"/>
  <c r="AB54" i="1" s="1"/>
  <c r="AB55" i="1" s="1"/>
  <c r="AB56" i="1" s="1"/>
  <c r="AB57" i="1" s="1"/>
  <c r="AB58" i="1" s="1"/>
  <c r="AB59" i="1" s="1"/>
  <c r="X27" i="1"/>
  <c r="X29" i="1" l="1"/>
  <c r="W29" i="1" s="1"/>
  <c r="W27" i="1"/>
  <c r="AA8" i="1"/>
  <c r="AA9" i="1"/>
  <c r="AA10" i="1" l="1"/>
  <c r="AA11" i="1" l="1"/>
  <c r="AA12" i="1" l="1"/>
  <c r="AA13" i="1" l="1"/>
  <c r="AA14" i="1" l="1"/>
  <c r="AA15" i="1" l="1"/>
  <c r="AA16" i="1" l="1"/>
  <c r="AA17" i="1" l="1"/>
  <c r="AA18" i="1" l="1"/>
  <c r="AA19" i="1" l="1"/>
  <c r="AA20" i="1" l="1"/>
  <c r="AA21" i="1" l="1"/>
  <c r="AA22" i="1" l="1"/>
  <c r="AA23" i="1" l="1"/>
  <c r="AA24" i="1" l="1"/>
  <c r="AA25" i="1" l="1"/>
  <c r="AA26" i="1" l="1"/>
  <c r="AA27" i="1" l="1"/>
  <c r="AA28" i="1" l="1"/>
  <c r="AA29" i="1" l="1"/>
  <c r="AA30" i="1" l="1"/>
  <c r="AA31" i="1" l="1"/>
  <c r="AA32" i="1" l="1"/>
  <c r="AA33" i="1" l="1"/>
  <c r="AA34" i="1" l="1"/>
  <c r="AA35" i="1" l="1"/>
  <c r="AA36" i="1" l="1"/>
  <c r="AA37" i="1" l="1"/>
  <c r="AA38" i="1" l="1"/>
  <c r="AA39" i="1" l="1"/>
  <c r="AA40" i="1" l="1"/>
  <c r="AA41" i="1" l="1"/>
  <c r="AA42" i="1" l="1"/>
  <c r="AA43" i="1" l="1"/>
  <c r="AA44" i="1" l="1"/>
  <c r="AA45" i="1" l="1"/>
  <c r="AA46" i="1" l="1"/>
  <c r="AA47" i="1" l="1"/>
  <c r="AA48" i="1" l="1"/>
  <c r="AA49" i="1" l="1"/>
  <c r="AA50" i="1" l="1"/>
  <c r="AA51" i="1" l="1"/>
  <c r="AA52" i="1" l="1"/>
  <c r="AA53" i="1" l="1"/>
  <c r="AA54" i="1" l="1"/>
  <c r="AA55" i="1" l="1"/>
  <c r="AA56" i="1" l="1"/>
  <c r="AA57" i="1" l="1"/>
  <c r="AA58" i="1" l="1"/>
  <c r="AA59" i="1" l="1"/>
  <c r="X28" i="1" l="1"/>
  <c r="X30" i="1" l="1"/>
  <c r="W30" i="1" s="1"/>
  <c r="W28" i="1"/>
  <c r="X33" i="1" l="1"/>
  <c r="X34" i="1" l="1"/>
  <c r="W34" i="1" s="1"/>
  <c r="W33" i="1"/>
  <c r="X35" i="1" l="1"/>
  <c r="W35" i="1" s="1"/>
  <c r="X38" i="1"/>
  <c r="W38" i="1" s="1"/>
  <c r="X39" i="1"/>
  <c r="W39" i="1" s="1"/>
  <c r="X36" i="1"/>
  <c r="W36" i="1" s="1"/>
  <c r="X40" i="1" l="1"/>
  <c r="W44" i="1"/>
  <c r="X37" i="1"/>
  <c r="W40" i="1"/>
  <c r="W37" i="1"/>
  <c r="W43" i="1" l="1"/>
  <c r="W41" i="1"/>
  <c r="AC19" i="1" s="1"/>
  <c r="AC14" i="1"/>
  <c r="AC15" i="1"/>
  <c r="AC10" i="1"/>
  <c r="AC9" i="1"/>
  <c r="AC13" i="1"/>
  <c r="AC11" i="1"/>
  <c r="AC17" i="1"/>
  <c r="AC12" i="1"/>
  <c r="AC20" i="1"/>
  <c r="AC21" i="1"/>
  <c r="AC16" i="1"/>
  <c r="AD16" i="1" s="1"/>
  <c r="AC8" i="1"/>
  <c r="AC37" i="1" s="1"/>
  <c r="AD13" i="1" l="1"/>
  <c r="AD10" i="1"/>
  <c r="AD9" i="1"/>
  <c r="AD20" i="1"/>
  <c r="AD19" i="1"/>
  <c r="AD11" i="1"/>
  <c r="AC18" i="1"/>
  <c r="AD18" i="1" s="1"/>
  <c r="AD15" i="1"/>
  <c r="AC35" i="1"/>
  <c r="AC24" i="1"/>
  <c r="AC55" i="1"/>
  <c r="AC36" i="1"/>
  <c r="AD36" i="1" s="1"/>
  <c r="AC34" i="1"/>
  <c r="AC31" i="1"/>
  <c r="AC30" i="1"/>
  <c r="AC26" i="1"/>
  <c r="AC27" i="1"/>
  <c r="AC48" i="1"/>
  <c r="AC44" i="1"/>
  <c r="AC42" i="1"/>
  <c r="AC53" i="1"/>
  <c r="AD12" i="1"/>
  <c r="AC43" i="1"/>
  <c r="AD43" i="1" s="1"/>
  <c r="AC52" i="1"/>
  <c r="AC28" i="1"/>
  <c r="AC40" i="1"/>
  <c r="AC54" i="1"/>
  <c r="AD54" i="1" s="1"/>
  <c r="AC51" i="1"/>
  <c r="AC49" i="1"/>
  <c r="AC25" i="1"/>
  <c r="AC32" i="1"/>
  <c r="AC57" i="1"/>
  <c r="AC59" i="1"/>
  <c r="AC46" i="1"/>
  <c r="AC33" i="1"/>
  <c r="AC39" i="1"/>
  <c r="AC45" i="1"/>
  <c r="AC22" i="1"/>
  <c r="AC58" i="1"/>
  <c r="AC29" i="1"/>
  <c r="AD8" i="1"/>
  <c r="AC56" i="1"/>
  <c r="AC23" i="1"/>
  <c r="AD23" i="1" s="1"/>
  <c r="AC50" i="1"/>
  <c r="AC41" i="1"/>
  <c r="AD14" i="1"/>
  <c r="AC38" i="1"/>
  <c r="AC47" i="1"/>
  <c r="AD41" i="1" l="1"/>
  <c r="AD56" i="1"/>
  <c r="AD33" i="1"/>
  <c r="AD47" i="1"/>
  <c r="AD29" i="1"/>
  <c r="AD24" i="1"/>
  <c r="AD30" i="1"/>
  <c r="AD45" i="1"/>
  <c r="AD51" i="1"/>
  <c r="AD49" i="1"/>
  <c r="AD34" i="1"/>
  <c r="AD40" i="1"/>
  <c r="AD27" i="1"/>
  <c r="AD52" i="1"/>
  <c r="AD58" i="1"/>
  <c r="AD22" i="1"/>
  <c r="AD31" i="1"/>
  <c r="AD17" i="1"/>
  <c r="AD26" i="1"/>
  <c r="AG8" i="1"/>
  <c r="AD28" i="1"/>
  <c r="AD55" i="1"/>
  <c r="AD39" i="1"/>
  <c r="AD46" i="1"/>
  <c r="AD53" i="1"/>
  <c r="AD35" i="1"/>
  <c r="AD50" i="1"/>
  <c r="AD57" i="1"/>
  <c r="AD42" i="1"/>
  <c r="AD38" i="1"/>
  <c r="AD32" i="1"/>
  <c r="AD44" i="1"/>
  <c r="AD21" i="1"/>
  <c r="AD25" i="1"/>
  <c r="AD48" i="1"/>
  <c r="AD37" i="1"/>
  <c r="AG9" i="1" l="1"/>
  <c r="AF8" i="1"/>
  <c r="AH8" i="1" s="1"/>
  <c r="AF9" i="1" l="1"/>
  <c r="AH9" i="1" s="1"/>
  <c r="AG10" i="1"/>
  <c r="AG11" i="1" l="1"/>
  <c r="AF10" i="1"/>
  <c r="AH10" i="1" s="1"/>
  <c r="AI9" i="1" s="1"/>
  <c r="AI8" i="1"/>
  <c r="AF11" i="1" l="1"/>
  <c r="AH11" i="1" s="1"/>
  <c r="AG12" i="1"/>
  <c r="AF12" i="1" l="1"/>
  <c r="AH12" i="1" s="1"/>
  <c r="AI11" i="1" s="1"/>
  <c r="AG13" i="1"/>
  <c r="AI10" i="1"/>
  <c r="AF13" i="1" l="1"/>
  <c r="AH13" i="1" s="1"/>
  <c r="AG14" i="1"/>
  <c r="AF14" i="1" l="1"/>
  <c r="AH14" i="1" s="1"/>
  <c r="AI13" i="1" s="1"/>
  <c r="AG15" i="1"/>
  <c r="AI12" i="1"/>
  <c r="AG16" i="1" l="1"/>
  <c r="AF15" i="1"/>
  <c r="AH15" i="1" s="1"/>
  <c r="AI14" i="1" l="1"/>
  <c r="AG17" i="1"/>
  <c r="AF16" i="1"/>
  <c r="AH16" i="1" s="1"/>
  <c r="AF17" i="1" l="1"/>
  <c r="AH17" i="1" s="1"/>
  <c r="AG18" i="1"/>
  <c r="AI15" i="1"/>
  <c r="AG19" i="1" l="1"/>
  <c r="AF18" i="1"/>
  <c r="AH18" i="1" s="1"/>
  <c r="AI17" i="1" s="1"/>
  <c r="AI16" i="1"/>
  <c r="AG20" i="1" l="1"/>
  <c r="AF19" i="1"/>
  <c r="AH19" i="1" s="1"/>
  <c r="AG21" i="1" l="1"/>
  <c r="AF20" i="1"/>
  <c r="AH20" i="1" s="1"/>
  <c r="AI18" i="1"/>
  <c r="AG22" i="1" l="1"/>
  <c r="AF21" i="1"/>
  <c r="AH21" i="1" s="1"/>
  <c r="AI19" i="1"/>
  <c r="AF22" i="1" l="1"/>
  <c r="AH22" i="1" s="1"/>
  <c r="AG23" i="1"/>
  <c r="AI20" i="1"/>
  <c r="AF23" i="1" l="1"/>
  <c r="AH23" i="1" s="1"/>
  <c r="AI22" i="1" s="1"/>
  <c r="AG24" i="1"/>
  <c r="AI21" i="1"/>
  <c r="AG25" i="1" l="1"/>
  <c r="AF24" i="1"/>
  <c r="AH24" i="1" s="1"/>
  <c r="AI23" i="1" l="1"/>
  <c r="AF25" i="1"/>
  <c r="AH25" i="1" s="1"/>
  <c r="AG26" i="1"/>
  <c r="AF26" i="1" l="1"/>
  <c r="AH26" i="1" s="1"/>
  <c r="AI25" i="1" s="1"/>
  <c r="AG27" i="1"/>
  <c r="AI24" i="1"/>
  <c r="AG28" i="1" l="1"/>
  <c r="AF27" i="1"/>
  <c r="AH27" i="1" s="1"/>
  <c r="AI26" i="1" s="1"/>
  <c r="AG29" i="1" l="1"/>
  <c r="AF28" i="1"/>
  <c r="AH28" i="1" s="1"/>
  <c r="AG30" i="1" l="1"/>
  <c r="AF30" i="1" s="1"/>
  <c r="AH30" i="1" s="1"/>
  <c r="AF29" i="1"/>
  <c r="AH29" i="1" s="1"/>
  <c r="AI27" i="1"/>
  <c r="AI29" i="1" l="1"/>
  <c r="W6" i="1"/>
  <c r="AI28" i="1"/>
  <c r="W7" i="1" l="1"/>
  <c r="X8" i="1" s="1"/>
  <c r="AG35" i="1"/>
  <c r="AG36" i="1" l="1"/>
  <c r="AF35" i="1"/>
  <c r="X9" i="1"/>
  <c r="W8" i="1"/>
  <c r="C62" i="1" l="1"/>
  <c r="D62" i="1" s="1"/>
  <c r="X10" i="1"/>
  <c r="W9" i="1"/>
  <c r="AG37" i="1"/>
  <c r="AF36" i="1"/>
  <c r="AG38" i="1" l="1"/>
  <c r="AF37" i="1"/>
  <c r="AH37" i="1"/>
  <c r="AH35" i="1"/>
  <c r="W10" i="1"/>
  <c r="AH36" i="1"/>
  <c r="AI36" i="1" l="1"/>
  <c r="AI35" i="1"/>
  <c r="AG39" i="1"/>
  <c r="AF38" i="1"/>
  <c r="AH38" i="1" s="1"/>
  <c r="AF39" i="1" l="1"/>
  <c r="AH39" i="1" s="1"/>
  <c r="AG40" i="1"/>
  <c r="AI37" i="1"/>
  <c r="AG41" i="1" l="1"/>
  <c r="AF40" i="1"/>
  <c r="AH40" i="1" s="1"/>
  <c r="AI38" i="1"/>
  <c r="AI39" i="1" l="1"/>
  <c r="AG42" i="1"/>
  <c r="AF41" i="1"/>
  <c r="AH41" i="1" s="1"/>
  <c r="AF42" i="1" l="1"/>
  <c r="AH42" i="1" s="1"/>
  <c r="AG43" i="1"/>
  <c r="AI40" i="1"/>
  <c r="AF43" i="1" l="1"/>
  <c r="AH43" i="1" s="1"/>
  <c r="AI42" i="1" s="1"/>
  <c r="AG44" i="1"/>
  <c r="AI41" i="1"/>
  <c r="AG45" i="1" l="1"/>
  <c r="AF44" i="1"/>
  <c r="AH44" i="1" s="1"/>
  <c r="AI43" i="1" l="1"/>
  <c r="AF45" i="1"/>
  <c r="AH45" i="1" s="1"/>
  <c r="AG46" i="1"/>
  <c r="AG47" i="1" l="1"/>
  <c r="AF46" i="1"/>
  <c r="AH46" i="1" s="1"/>
  <c r="AI45" i="1" s="1"/>
  <c r="AI44" i="1"/>
  <c r="AF47" i="1" l="1"/>
  <c r="AH47" i="1" s="1"/>
  <c r="AG48" i="1"/>
  <c r="AG49" i="1" l="1"/>
  <c r="AF48" i="1"/>
  <c r="AH48" i="1" s="1"/>
  <c r="AI47" i="1" s="1"/>
  <c r="AI46" i="1"/>
  <c r="AG50" i="1" l="1"/>
  <c r="AF49" i="1"/>
  <c r="AH49" i="1" s="1"/>
  <c r="AG51" i="1" l="1"/>
  <c r="AF50" i="1"/>
  <c r="AH50" i="1" s="1"/>
  <c r="AI48" i="1"/>
  <c r="AF51" i="1" l="1"/>
  <c r="AH51" i="1" s="1"/>
  <c r="AG52" i="1"/>
  <c r="AI49" i="1"/>
  <c r="AF52" i="1" l="1"/>
  <c r="AH52" i="1" s="1"/>
  <c r="AI51" i="1" s="1"/>
  <c r="AG53" i="1"/>
  <c r="AI50" i="1"/>
  <c r="AF53" i="1" l="1"/>
  <c r="AH53" i="1" s="1"/>
  <c r="AI52" i="1" s="1"/>
  <c r="AG54" i="1"/>
  <c r="AF54" i="1" l="1"/>
  <c r="AH54" i="1" s="1"/>
  <c r="AI53" i="1" s="1"/>
  <c r="AG55" i="1"/>
  <c r="AF55" i="1" l="1"/>
  <c r="AH55" i="1" s="1"/>
  <c r="AI54" i="1" s="1"/>
  <c r="AG56" i="1"/>
  <c r="AF56" i="1" l="1"/>
  <c r="AH56" i="1" s="1"/>
  <c r="AI55" i="1" s="1"/>
  <c r="AG57" i="1"/>
  <c r="AF57" i="1" l="1"/>
  <c r="AH57" i="1" s="1"/>
  <c r="AI56" i="1" s="1"/>
  <c r="AG58" i="1"/>
  <c r="AF58" i="1" l="1"/>
  <c r="AH58" i="1" s="1"/>
  <c r="AI57" i="1" s="1"/>
  <c r="AG59" i="1"/>
  <c r="AF59" i="1" s="1"/>
  <c r="AH59" i="1" s="1"/>
  <c r="AL8" i="1" l="1"/>
  <c r="AI58" i="1"/>
  <c r="AK8" i="1" l="1"/>
  <c r="AM8" i="1" s="1"/>
  <c r="AL9" i="1"/>
  <c r="AK9" i="1" l="1"/>
  <c r="AM9" i="1" s="1"/>
  <c r="AN8" i="1" s="1"/>
  <c r="AL10" i="1"/>
  <c r="AL11" i="1" l="1"/>
  <c r="AK10" i="1"/>
  <c r="AM10" i="1" s="1"/>
  <c r="AN9" i="1" s="1"/>
  <c r="AL12" i="1" l="1"/>
  <c r="AK11" i="1"/>
  <c r="AM11" i="1" s="1"/>
  <c r="AL13" i="1" l="1"/>
  <c r="AK12" i="1"/>
  <c r="AM12" i="1" s="1"/>
  <c r="AN10" i="1"/>
  <c r="AL14" i="1" l="1"/>
  <c r="AK13" i="1"/>
  <c r="AM13" i="1" s="1"/>
  <c r="AN11" i="1"/>
  <c r="AK14" i="1" l="1"/>
  <c r="AM14" i="1" s="1"/>
  <c r="AL15" i="1"/>
  <c r="AN12" i="1"/>
  <c r="AK15" i="1" l="1"/>
  <c r="AM15" i="1" s="1"/>
  <c r="AN14" i="1" s="1"/>
  <c r="AL16" i="1"/>
  <c r="AN13" i="1"/>
  <c r="AK16" i="1" l="1"/>
  <c r="AM16" i="1" s="1"/>
  <c r="AN15" i="1" s="1"/>
  <c r="AL17" i="1"/>
  <c r="AL18" i="1" l="1"/>
  <c r="AK17" i="1"/>
  <c r="AM17" i="1" s="1"/>
  <c r="AN16" i="1" s="1"/>
  <c r="AL19" i="1" l="1"/>
  <c r="AK18" i="1"/>
  <c r="AM18" i="1" s="1"/>
  <c r="AL20" i="1" l="1"/>
  <c r="AK19" i="1"/>
  <c r="AM19" i="1" s="1"/>
  <c r="AN17" i="1"/>
  <c r="AL21" i="1" l="1"/>
  <c r="AK20" i="1"/>
  <c r="AM20" i="1" s="1"/>
  <c r="AN18" i="1"/>
  <c r="AK21" i="1" l="1"/>
  <c r="AM21" i="1" s="1"/>
  <c r="AL22" i="1"/>
  <c r="AN19" i="1"/>
  <c r="AK22" i="1" l="1"/>
  <c r="AM22" i="1" s="1"/>
  <c r="AN21" i="1" s="1"/>
  <c r="AL23" i="1"/>
  <c r="AN20" i="1"/>
  <c r="AL24" i="1" l="1"/>
  <c r="AK23" i="1"/>
  <c r="AM23" i="1" s="1"/>
  <c r="AN22" i="1" s="1"/>
  <c r="AL25" i="1" l="1"/>
  <c r="AK24" i="1"/>
  <c r="AM24" i="1" s="1"/>
  <c r="AL26" i="1" l="1"/>
  <c r="AK25" i="1"/>
  <c r="AM25" i="1" s="1"/>
  <c r="AN23" i="1"/>
  <c r="AK26" i="1" l="1"/>
  <c r="AM26" i="1" s="1"/>
  <c r="AL27" i="1"/>
  <c r="AN24" i="1"/>
  <c r="AL28" i="1" l="1"/>
  <c r="AK27" i="1"/>
  <c r="AM27" i="1" s="1"/>
  <c r="AN26" i="1" s="1"/>
  <c r="AN25" i="1"/>
  <c r="AK28" i="1" l="1"/>
  <c r="AM28" i="1" s="1"/>
  <c r="AL29" i="1"/>
  <c r="AL30" i="1" l="1"/>
  <c r="AK30" i="1" s="1"/>
  <c r="AM30" i="1" s="1"/>
  <c r="AK29" i="1"/>
  <c r="AM29" i="1" s="1"/>
  <c r="AN27" i="1"/>
  <c r="AN29" i="1" l="1"/>
  <c r="AN28" i="1"/>
  <c r="AM49" i="1"/>
  <c r="AM50" i="1" l="1"/>
  <c r="AL50" i="1" s="1"/>
  <c r="AN50" i="1" s="1"/>
  <c r="AL49" i="1"/>
  <c r="AN49" i="1" s="1"/>
  <c r="AM51" i="1" l="1"/>
  <c r="AM52" i="1" s="1"/>
  <c r="AQ59" i="1"/>
  <c r="AQ58" i="1" s="1"/>
  <c r="AQ37" i="1"/>
  <c r="AO53" i="1"/>
  <c r="E25" i="1" s="1"/>
  <c r="AM53" i="1" l="1"/>
  <c r="C25" i="1" s="1"/>
  <c r="AR37" i="1"/>
  <c r="AQ38" i="1"/>
  <c r="AQ36" i="1"/>
  <c r="AV10" i="1"/>
  <c r="AM54" i="1"/>
  <c r="AN53" i="1" l="1"/>
  <c r="D25" i="1" s="1"/>
  <c r="AN54" i="1"/>
  <c r="AM56" i="1"/>
  <c r="AR36" i="1"/>
  <c r="AQ35" i="1"/>
  <c r="AR38" i="1"/>
  <c r="AQ39" i="1"/>
  <c r="AT37" i="1"/>
  <c r="AW37" i="1" s="1"/>
  <c r="AS37" i="1"/>
  <c r="AV37" i="1" s="1"/>
  <c r="AU37" i="1"/>
  <c r="AX37" i="1" s="1"/>
  <c r="AT36" i="1" l="1"/>
  <c r="AW36" i="1" s="1"/>
  <c r="AS36" i="1"/>
  <c r="AV36" i="1" s="1"/>
  <c r="AU36" i="1"/>
  <c r="AX36" i="1" s="1"/>
  <c r="AR39" i="1"/>
  <c r="AQ40" i="1"/>
  <c r="AS38" i="1"/>
  <c r="AV38" i="1" s="1"/>
  <c r="AT38" i="1"/>
  <c r="AW38" i="1" s="1"/>
  <c r="AU38" i="1"/>
  <c r="AX38" i="1" s="1"/>
  <c r="AR35" i="1"/>
  <c r="AQ34" i="1"/>
  <c r="AM57" i="1"/>
  <c r="AN56" i="1"/>
  <c r="AR34" i="1" l="1"/>
  <c r="AQ33" i="1"/>
  <c r="AT35" i="1"/>
  <c r="AW35" i="1" s="1"/>
  <c r="AS35" i="1"/>
  <c r="AV35" i="1" s="1"/>
  <c r="AU35" i="1"/>
  <c r="AX35" i="1" s="1"/>
  <c r="AN57" i="1"/>
  <c r="AY59" i="1"/>
  <c r="AY58" i="1" s="1"/>
  <c r="AM58" i="1"/>
  <c r="AO59" i="1"/>
  <c r="H25" i="1" s="1"/>
  <c r="AR40" i="1"/>
  <c r="AQ41" i="1"/>
  <c r="AS39" i="1"/>
  <c r="AV39" i="1" s="1"/>
  <c r="AT39" i="1"/>
  <c r="AW39" i="1" s="1"/>
  <c r="AU39" i="1"/>
  <c r="AX39" i="1" s="1"/>
  <c r="AQ42" i="1" l="1"/>
  <c r="AR41" i="1"/>
  <c r="AT40" i="1"/>
  <c r="AW40" i="1" s="1"/>
  <c r="AS40" i="1"/>
  <c r="AV40" i="1" s="1"/>
  <c r="AU40" i="1"/>
  <c r="AX40" i="1" s="1"/>
  <c r="AQ32" i="1"/>
  <c r="AR33" i="1"/>
  <c r="AN58" i="1"/>
  <c r="AM38" i="1" s="1"/>
  <c r="AN38" i="1" s="1"/>
  <c r="AM59" i="1"/>
  <c r="F25" i="1" s="1"/>
  <c r="AS34" i="1"/>
  <c r="AV34" i="1" s="1"/>
  <c r="AT34" i="1"/>
  <c r="AW34" i="1" s="1"/>
  <c r="AU34" i="1"/>
  <c r="AX34" i="1" s="1"/>
  <c r="C26" i="1" l="1"/>
  <c r="C61" i="1"/>
  <c r="D61" i="1" s="1"/>
  <c r="AS33" i="1"/>
  <c r="AV33" i="1" s="1"/>
  <c r="AT33" i="1"/>
  <c r="AW33" i="1" s="1"/>
  <c r="AU33" i="1"/>
  <c r="AX33" i="1" s="1"/>
  <c r="AQ31" i="1"/>
  <c r="AR32" i="1"/>
  <c r="AS41" i="1"/>
  <c r="AV41" i="1" s="1"/>
  <c r="AT41" i="1"/>
  <c r="AW41" i="1" s="1"/>
  <c r="AU41" i="1"/>
  <c r="AX41" i="1" s="1"/>
  <c r="AN59" i="1"/>
  <c r="G25" i="1" s="1"/>
  <c r="AR42" i="1"/>
  <c r="AQ43" i="1"/>
  <c r="AT32" i="1" l="1"/>
  <c r="AW32" i="1" s="1"/>
  <c r="AS32" i="1"/>
  <c r="AV32" i="1" s="1"/>
  <c r="AU32" i="1"/>
  <c r="AX32" i="1" s="1"/>
  <c r="AQ30" i="1"/>
  <c r="AR31" i="1"/>
  <c r="AR43" i="1"/>
  <c r="AQ44" i="1"/>
  <c r="AS42" i="1"/>
  <c r="AV42" i="1" s="1"/>
  <c r="AT42" i="1"/>
  <c r="AW42" i="1" s="1"/>
  <c r="AU42" i="1"/>
  <c r="AX42" i="1" s="1"/>
  <c r="AQ45" i="1" l="1"/>
  <c r="AR44" i="1"/>
  <c r="AS43" i="1"/>
  <c r="AV43" i="1" s="1"/>
  <c r="AT43" i="1"/>
  <c r="AW43" i="1" s="1"/>
  <c r="AU43" i="1"/>
  <c r="AX43" i="1" s="1"/>
  <c r="AS31" i="1"/>
  <c r="AV31" i="1" s="1"/>
  <c r="AT31" i="1"/>
  <c r="AW31" i="1" s="1"/>
  <c r="AU31" i="1"/>
  <c r="AX31" i="1" s="1"/>
  <c r="AR30" i="1"/>
  <c r="AQ29" i="1"/>
  <c r="AQ28" i="1" l="1"/>
  <c r="AR29" i="1"/>
  <c r="AS30" i="1"/>
  <c r="AV30" i="1" s="1"/>
  <c r="AT30" i="1"/>
  <c r="AW30" i="1" s="1"/>
  <c r="AU30" i="1"/>
  <c r="AX30" i="1" s="1"/>
  <c r="AT44" i="1"/>
  <c r="AW44" i="1" s="1"/>
  <c r="AS44" i="1"/>
  <c r="AV44" i="1" s="1"/>
  <c r="AU44" i="1"/>
  <c r="AX44" i="1" s="1"/>
  <c r="AR45" i="1"/>
  <c r="AQ46" i="1"/>
  <c r="AR46" i="1" l="1"/>
  <c r="AQ47" i="1"/>
  <c r="AS45" i="1"/>
  <c r="AV45" i="1" s="1"/>
  <c r="AT45" i="1"/>
  <c r="AW45" i="1" s="1"/>
  <c r="AU45" i="1"/>
  <c r="AX45" i="1" s="1"/>
  <c r="AS29" i="1"/>
  <c r="AV29" i="1" s="1"/>
  <c r="AT29" i="1"/>
  <c r="AW29" i="1" s="1"/>
  <c r="AU29" i="1"/>
  <c r="AX29" i="1" s="1"/>
  <c r="AQ27" i="1"/>
  <c r="AR28" i="1"/>
  <c r="AS28" i="1" l="1"/>
  <c r="AV28" i="1" s="1"/>
  <c r="AT28" i="1"/>
  <c r="AW28" i="1" s="1"/>
  <c r="AU28" i="1"/>
  <c r="AX28" i="1" s="1"/>
  <c r="AR27" i="1"/>
  <c r="AQ26" i="1"/>
  <c r="AR47" i="1"/>
  <c r="AQ48" i="1"/>
  <c r="AS46" i="1"/>
  <c r="AV46" i="1" s="1"/>
  <c r="AT46" i="1"/>
  <c r="AW46" i="1" s="1"/>
  <c r="AU46" i="1"/>
  <c r="AX46" i="1" s="1"/>
  <c r="AR48" i="1" l="1"/>
  <c r="AQ49" i="1"/>
  <c r="AT47" i="1"/>
  <c r="AW47" i="1" s="1"/>
  <c r="AS47" i="1"/>
  <c r="AV47" i="1" s="1"/>
  <c r="AU47" i="1"/>
  <c r="AX47" i="1" s="1"/>
  <c r="AQ25" i="1"/>
  <c r="AR26" i="1"/>
  <c r="AS27" i="1"/>
  <c r="AV27" i="1" s="1"/>
  <c r="AT27" i="1"/>
  <c r="AW27" i="1" s="1"/>
  <c r="AU27" i="1"/>
  <c r="AX27" i="1" s="1"/>
  <c r="AS26" i="1" l="1"/>
  <c r="AV26" i="1" s="1"/>
  <c r="AT26" i="1"/>
  <c r="AW26" i="1" s="1"/>
  <c r="AU26" i="1"/>
  <c r="AX26" i="1" s="1"/>
  <c r="AQ24" i="1"/>
  <c r="AR25" i="1"/>
  <c r="AQ50" i="1"/>
  <c r="AR49" i="1"/>
  <c r="AT48" i="1"/>
  <c r="AW48" i="1" s="1"/>
  <c r="AS48" i="1"/>
  <c r="AV48" i="1" s="1"/>
  <c r="AU48" i="1"/>
  <c r="AX48" i="1" s="1"/>
  <c r="AS49" i="1" l="1"/>
  <c r="AV49" i="1" s="1"/>
  <c r="AT49" i="1"/>
  <c r="AW49" i="1" s="1"/>
  <c r="AU49" i="1"/>
  <c r="AX49" i="1" s="1"/>
  <c r="AR50" i="1"/>
  <c r="AQ51" i="1"/>
  <c r="AS25" i="1"/>
  <c r="AV25" i="1" s="1"/>
  <c r="AT25" i="1"/>
  <c r="AW25" i="1" s="1"/>
  <c r="AU25" i="1"/>
  <c r="AX25" i="1" s="1"/>
  <c r="AR24" i="1"/>
  <c r="AQ23" i="1"/>
  <c r="AQ22" i="1" l="1"/>
  <c r="AR23" i="1"/>
  <c r="AS24" i="1"/>
  <c r="AV24" i="1" s="1"/>
  <c r="AT24" i="1"/>
  <c r="AW24" i="1" s="1"/>
  <c r="AU24" i="1"/>
  <c r="AX24" i="1" s="1"/>
  <c r="AR51" i="1"/>
  <c r="AQ52" i="1"/>
  <c r="AT50" i="1"/>
  <c r="AW50" i="1" s="1"/>
  <c r="AS50" i="1"/>
  <c r="AV50" i="1" s="1"/>
  <c r="AU50" i="1"/>
  <c r="AX50" i="1" s="1"/>
  <c r="AR52" i="1" l="1"/>
  <c r="AQ53" i="1"/>
  <c r="AS51" i="1"/>
  <c r="AV51" i="1" s="1"/>
  <c r="AT51" i="1"/>
  <c r="AW51" i="1" s="1"/>
  <c r="AU51" i="1"/>
  <c r="AX51" i="1" s="1"/>
  <c r="AT23" i="1"/>
  <c r="AW23" i="1" s="1"/>
  <c r="AS23" i="1"/>
  <c r="AV23" i="1" s="1"/>
  <c r="AU23" i="1"/>
  <c r="AX23" i="1" s="1"/>
  <c r="AR22" i="1"/>
  <c r="AQ21" i="1"/>
  <c r="AR21" i="1" l="1"/>
  <c r="AQ20" i="1"/>
  <c r="AT22" i="1"/>
  <c r="AW22" i="1" s="1"/>
  <c r="AS22" i="1"/>
  <c r="AV22" i="1" s="1"/>
  <c r="AU22" i="1"/>
  <c r="AX22" i="1" s="1"/>
  <c r="AR53" i="1"/>
  <c r="AQ54" i="1"/>
  <c r="AT52" i="1"/>
  <c r="AW52" i="1" s="1"/>
  <c r="AS52" i="1"/>
  <c r="AV52" i="1" s="1"/>
  <c r="AU52" i="1"/>
  <c r="AX52" i="1" s="1"/>
  <c r="AQ55" i="1" l="1"/>
  <c r="AR54" i="1"/>
  <c r="AS53" i="1"/>
  <c r="AV53" i="1" s="1"/>
  <c r="AT53" i="1"/>
  <c r="AW53" i="1" s="1"/>
  <c r="AU53" i="1"/>
  <c r="AX53" i="1" s="1"/>
  <c r="AQ19" i="1"/>
  <c r="AR20" i="1"/>
  <c r="AS21" i="1"/>
  <c r="AV21" i="1" s="1"/>
  <c r="AT21" i="1"/>
  <c r="AW21" i="1" s="1"/>
  <c r="AU21" i="1"/>
  <c r="AX21" i="1" s="1"/>
  <c r="AS20" i="1" l="1"/>
  <c r="AV20" i="1" s="1"/>
  <c r="AT20" i="1"/>
  <c r="AW20" i="1" s="1"/>
  <c r="AU20" i="1"/>
  <c r="AX20" i="1" s="1"/>
  <c r="AQ18" i="1"/>
  <c r="AR19" i="1"/>
  <c r="AS54" i="1"/>
  <c r="AV54" i="1" s="1"/>
  <c r="AT54" i="1"/>
  <c r="AW54" i="1" s="1"/>
  <c r="AU54" i="1"/>
  <c r="AX54" i="1" s="1"/>
  <c r="AQ56" i="1"/>
  <c r="AR55" i="1"/>
  <c r="AT55" i="1" l="1"/>
  <c r="AW55" i="1" s="1"/>
  <c r="AS55" i="1"/>
  <c r="AV55" i="1" s="1"/>
  <c r="AU55" i="1"/>
  <c r="AX55" i="1" s="1"/>
  <c r="AR56" i="1"/>
  <c r="AQ57" i="1"/>
  <c r="AR57" i="1" s="1"/>
  <c r="AS19" i="1"/>
  <c r="AV19" i="1" s="1"/>
  <c r="AT19" i="1"/>
  <c r="AW19" i="1" s="1"/>
  <c r="AU19" i="1"/>
  <c r="AX19" i="1" s="1"/>
  <c r="AR18" i="1"/>
  <c r="AQ17" i="1"/>
  <c r="AR17" i="1" s="1"/>
  <c r="AS18" i="1" l="1"/>
  <c r="AV18" i="1" s="1"/>
  <c r="AT18" i="1"/>
  <c r="AW18" i="1" s="1"/>
  <c r="AU18" i="1"/>
  <c r="AX18" i="1" s="1"/>
  <c r="AS17" i="1"/>
  <c r="AV17" i="1" s="1"/>
  <c r="AT17" i="1"/>
  <c r="AW17" i="1" s="1"/>
  <c r="AU17" i="1"/>
  <c r="AX17" i="1" s="1"/>
  <c r="AS57" i="1"/>
  <c r="AV57" i="1" s="1"/>
  <c r="AT57" i="1"/>
  <c r="AW57" i="1" s="1"/>
  <c r="AU57" i="1"/>
  <c r="AX57" i="1" s="1"/>
  <c r="AT56" i="1"/>
  <c r="AW56" i="1" s="1"/>
  <c r="AS56" i="1"/>
  <c r="AV56" i="1" s="1"/>
  <c r="AU56" i="1"/>
  <c r="AX56" i="1" s="1"/>
</calcChain>
</file>

<file path=xl/sharedStrings.xml><?xml version="1.0" encoding="utf-8"?>
<sst xmlns="http://schemas.openxmlformats.org/spreadsheetml/2006/main" count="180" uniqueCount="154">
  <si>
    <t>Messung 1</t>
  </si>
  <si>
    <t>Datum:</t>
  </si>
  <si>
    <t>Uhrzeit UT1:</t>
  </si>
  <si>
    <t>Messung 2</t>
  </si>
  <si>
    <t>Sextantenablesung:</t>
  </si>
  <si>
    <t>Augeshöhe:</t>
  </si>
  <si>
    <t>Versegelung</t>
  </si>
  <si>
    <t>Strecke:</t>
  </si>
  <si>
    <t>Kurs:</t>
  </si>
  <si>
    <t>j</t>
  </si>
  <si>
    <t>Monat</t>
  </si>
  <si>
    <t>hma</t>
  </si>
  <si>
    <t>Grad</t>
  </si>
  <si>
    <t>hmb</t>
  </si>
  <si>
    <t xml:space="preserve"> nm</t>
  </si>
  <si>
    <t>m</t>
  </si>
  <si>
    <t>STANDORT:</t>
  </si>
  <si>
    <t>Ergebnis</t>
  </si>
  <si>
    <t>UR</t>
  </si>
  <si>
    <t>Einstellungen</t>
  </si>
  <si>
    <t xml:space="preserve">Indexberichtigung Beob. 1: </t>
  </si>
  <si>
    <t xml:space="preserve">Indexberichtigung Beob. 2: </t>
  </si>
  <si>
    <t>Zusatzbeschickung</t>
  </si>
  <si>
    <t>Tabelle 1</t>
  </si>
  <si>
    <t>rad</t>
  </si>
  <si>
    <t>diff</t>
  </si>
  <si>
    <t>test</t>
  </si>
  <si>
    <t>LHA =</t>
  </si>
  <si>
    <r>
      <t xml:space="preserve">Zeitdifferenz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 xml:space="preserve">t: </t>
    </r>
  </si>
  <si>
    <t>hma°</t>
  </si>
  <si>
    <t>hmb°</t>
  </si>
  <si>
    <t xml:space="preserve">Schiffsmittag: </t>
  </si>
  <si>
    <t xml:space="preserve">Standortwahl N/ S : </t>
  </si>
  <si>
    <t>Auswahl</t>
  </si>
  <si>
    <t>Zeiten</t>
  </si>
  <si>
    <t>U</t>
  </si>
  <si>
    <r>
      <t>Grt</t>
    </r>
    <r>
      <rPr>
        <vertAlign val="subscript"/>
        <sz val="11"/>
        <color theme="1"/>
        <rFont val="Helvetica Neue"/>
        <family val="2"/>
      </rPr>
      <t>A</t>
    </r>
    <r>
      <rPr>
        <sz val="11"/>
        <color theme="1"/>
        <rFont val="Helvetica Neue"/>
        <family val="2"/>
      </rPr>
      <t xml:space="preserve"> =  </t>
    </r>
  </si>
  <si>
    <r>
      <rPr>
        <sz val="11"/>
        <color theme="1"/>
        <rFont val="Symbol"/>
        <charset val="2"/>
      </rPr>
      <t>t</t>
    </r>
    <r>
      <rPr>
        <vertAlign val="subscript"/>
        <sz val="11"/>
        <color theme="1"/>
        <rFont val="Helvetica Neue"/>
        <family val="2"/>
      </rPr>
      <t>1</t>
    </r>
    <r>
      <rPr>
        <sz val="11"/>
        <color theme="1"/>
        <rFont val="Helvetica Neue"/>
        <family val="2"/>
      </rPr>
      <t xml:space="preserve"> =  </t>
    </r>
  </si>
  <si>
    <r>
      <t>Grt</t>
    </r>
    <r>
      <rPr>
        <vertAlign val="subscript"/>
        <sz val="11"/>
        <color theme="1"/>
        <rFont val="Helvetica Neue"/>
        <family val="2"/>
      </rPr>
      <t>A</t>
    </r>
    <r>
      <rPr>
        <sz val="11"/>
        <color theme="1"/>
        <rFont val="Helvetica Neue"/>
        <family val="2"/>
      </rPr>
      <t xml:space="preserve"> </t>
    </r>
    <r>
      <rPr>
        <u/>
        <sz val="11"/>
        <color theme="1"/>
        <rFont val="Helvetica Neue"/>
        <family val="2"/>
      </rPr>
      <t>+</t>
    </r>
    <r>
      <rPr>
        <sz val="11"/>
        <color theme="1"/>
        <rFont val="Helvetica Neue"/>
        <family val="2"/>
      </rPr>
      <t xml:space="preserve"> </t>
    </r>
    <r>
      <rPr>
        <sz val="11"/>
        <color theme="1"/>
        <rFont val="Symbol"/>
        <charset val="2"/>
      </rPr>
      <t>t</t>
    </r>
    <r>
      <rPr>
        <vertAlign val="subscript"/>
        <sz val="11"/>
        <color theme="1"/>
        <rFont val="Helvetica Neue"/>
        <family val="2"/>
      </rPr>
      <t>1</t>
    </r>
    <r>
      <rPr>
        <sz val="11"/>
        <color theme="1"/>
        <rFont val="Helvetica Neue"/>
        <family val="2"/>
      </rPr>
      <t xml:space="preserve"> = </t>
    </r>
  </si>
  <si>
    <r>
      <rPr>
        <sz val="11"/>
        <color theme="1"/>
        <rFont val="Symbol"/>
        <charset val="2"/>
      </rPr>
      <t>l</t>
    </r>
    <r>
      <rPr>
        <sz val="11"/>
        <color theme="1"/>
        <rFont val="Helvetica Neue"/>
        <family val="2"/>
      </rPr>
      <t>* =</t>
    </r>
  </si>
  <si>
    <r>
      <rPr>
        <sz val="11"/>
        <color theme="1"/>
        <rFont val="Symbol"/>
        <charset val="2"/>
      </rPr>
      <t>l</t>
    </r>
    <r>
      <rPr>
        <sz val="11"/>
        <color theme="1"/>
        <rFont val="Helvetica Neue"/>
        <family val="2"/>
      </rPr>
      <t xml:space="preserve"> =</t>
    </r>
  </si>
  <si>
    <t>Tabelle 2</t>
  </si>
  <si>
    <t>Beschickung Sextantenablesung</t>
  </si>
  <si>
    <t>Sextantenablesung :</t>
  </si>
  <si>
    <t>Gesamtbeschickung :</t>
  </si>
  <si>
    <t>Zusatzbeschickung :</t>
  </si>
  <si>
    <t>Indexberichtigung :</t>
  </si>
  <si>
    <t>Bogenmaß :</t>
  </si>
  <si>
    <t xml:space="preserve">Messung 1 </t>
  </si>
  <si>
    <t>beobachtete Höhe:</t>
  </si>
  <si>
    <t>Grad Minuten :</t>
  </si>
  <si>
    <t>Tabelle 3</t>
  </si>
  <si>
    <t>Tabelle 4</t>
  </si>
  <si>
    <t xml:space="preserve">Az1 = </t>
  </si>
  <si>
    <t>aza</t>
  </si>
  <si>
    <r>
      <rPr>
        <sz val="12"/>
        <color theme="1"/>
        <rFont val="Symbol"/>
        <charset val="2"/>
      </rPr>
      <t>D</t>
    </r>
    <r>
      <rPr>
        <sz val="12"/>
        <color theme="1"/>
        <rFont val="Calibri"/>
        <family val="2"/>
        <scheme val="minor"/>
      </rPr>
      <t xml:space="preserve">h = </t>
    </r>
  </si>
  <si>
    <r>
      <t>h</t>
    </r>
    <r>
      <rPr>
        <vertAlign val="subscript"/>
        <sz val="12"/>
        <color theme="1"/>
        <rFont val="Calibri (Textkörper)"/>
      </rPr>
      <t>1</t>
    </r>
    <r>
      <rPr>
        <sz val="12"/>
        <color theme="1"/>
        <rFont val="Calibri"/>
        <family val="2"/>
        <scheme val="minor"/>
      </rPr>
      <t xml:space="preserve"> + </t>
    </r>
    <r>
      <rPr>
        <sz val="12"/>
        <color theme="1"/>
        <rFont val="Symbol"/>
        <charset val="2"/>
      </rPr>
      <t>D</t>
    </r>
    <r>
      <rPr>
        <sz val="12"/>
        <color theme="1"/>
        <rFont val="Calibri"/>
        <family val="2"/>
        <scheme val="minor"/>
      </rPr>
      <t>h =</t>
    </r>
  </si>
  <si>
    <t>hmav</t>
  </si>
  <si>
    <t>Zusatzinformationen</t>
  </si>
  <si>
    <t>Zeit UT1:</t>
  </si>
  <si>
    <t>Greenwichwinkel Grt:</t>
  </si>
  <si>
    <r>
      <t xml:space="preserve">Deklination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>:</t>
    </r>
  </si>
  <si>
    <t>LHA:</t>
  </si>
  <si>
    <t>Azimut Az1:</t>
  </si>
  <si>
    <r>
      <t xml:space="preserve">versegelte </t>
    </r>
    <r>
      <rPr>
        <sz val="14"/>
        <color theme="1"/>
        <rFont val="Symbol"/>
        <charset val="2"/>
      </rPr>
      <t>l</t>
    </r>
    <r>
      <rPr>
        <sz val="14"/>
        <color theme="1"/>
        <rFont val="Helvetica Neue"/>
        <family val="2"/>
      </rPr>
      <t xml:space="preserve"> und </t>
    </r>
    <r>
      <rPr>
        <sz val="14"/>
        <color theme="1"/>
        <rFont val="Symbol"/>
        <charset val="2"/>
      </rPr>
      <t>j</t>
    </r>
    <r>
      <rPr>
        <sz val="14"/>
        <color theme="1"/>
        <rFont val="Helvetica Neue"/>
        <family val="2"/>
      </rPr>
      <t xml:space="preserve"> für die Standortgrafik</t>
    </r>
  </si>
  <si>
    <t>versegelter Kurs:</t>
  </si>
  <si>
    <t>versegelte Strecke s:</t>
  </si>
  <si>
    <t>nm</t>
  </si>
  <si>
    <r>
      <t xml:space="preserve">versegelte Breite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</si>
  <si>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r>
      <t xml:space="preserve">versegelte Länge </t>
    </r>
    <r>
      <rPr>
        <sz val="12"/>
        <color theme="1"/>
        <rFont val="Symbol"/>
        <charset val="2"/>
      </rPr>
      <t>Dl</t>
    </r>
    <r>
      <rPr>
        <sz val="12"/>
        <color theme="1"/>
        <rFont val="Helvetica Neue"/>
        <family val="2"/>
      </rPr>
      <t>:</t>
    </r>
  </si>
  <si>
    <t>Grafik</t>
  </si>
  <si>
    <t xml:space="preserve">Schrittweite aus Breitenbereich: </t>
  </si>
  <si>
    <r>
      <rPr>
        <sz val="12"/>
        <rFont val="Symbol"/>
        <charset val="2"/>
      </rPr>
      <t>j</t>
    </r>
    <r>
      <rPr>
        <vertAlign val="subscript"/>
        <sz val="12"/>
        <rFont val="Helvetica Neue"/>
        <family val="2"/>
      </rPr>
      <t>rad</t>
    </r>
  </si>
  <si>
    <r>
      <t>P</t>
    </r>
    <r>
      <rPr>
        <sz val="12"/>
        <rFont val="Symbol"/>
        <charset val="2"/>
      </rPr>
      <t>l</t>
    </r>
    <r>
      <rPr>
        <vertAlign val="subscript"/>
        <sz val="12"/>
        <rFont val="Helvetica Neue"/>
        <family val="2"/>
      </rPr>
      <t>1</t>
    </r>
  </si>
  <si>
    <r>
      <t>P</t>
    </r>
    <r>
      <rPr>
        <sz val="12"/>
        <rFont val="Symbol"/>
        <charset val="2"/>
      </rPr>
      <t>l</t>
    </r>
    <r>
      <rPr>
        <vertAlign val="subscript"/>
        <sz val="12"/>
        <rFont val="Helvetica Neue"/>
        <family val="2"/>
      </rPr>
      <t>2</t>
    </r>
  </si>
  <si>
    <r>
      <t>P</t>
    </r>
    <r>
      <rPr>
        <sz val="12"/>
        <rFont val="Symbol"/>
        <charset val="2"/>
      </rPr>
      <t>l</t>
    </r>
    <r>
      <rPr>
        <vertAlign val="subscript"/>
        <sz val="12"/>
        <rFont val="Helvetica Neue"/>
        <family val="2"/>
      </rPr>
      <t>v</t>
    </r>
  </si>
  <si>
    <r>
      <rPr>
        <sz val="12"/>
        <rFont val="Symbol"/>
        <charset val="2"/>
      </rPr>
      <t>l</t>
    </r>
    <r>
      <rPr>
        <vertAlign val="subscript"/>
        <sz val="12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</si>
  <si>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vertAlign val="subscript"/>
        <sz val="12"/>
        <rFont val="Helvetica Neue"/>
        <family val="2"/>
      </rPr>
      <t>2</t>
    </r>
  </si>
  <si>
    <r>
      <t>l</t>
    </r>
    <r>
      <rPr>
        <vertAlign val="subscript"/>
        <sz val="12"/>
        <rFont val="Helvetica Neue"/>
        <family val="2"/>
      </rPr>
      <t>v</t>
    </r>
  </si>
  <si>
    <t>Vers. Vector</t>
  </si>
  <si>
    <t>Standort und Versegelung</t>
  </si>
  <si>
    <t xml:space="preserve">Breitenbereich: </t>
  </si>
  <si>
    <t>N</t>
  </si>
  <si>
    <t xml:space="preserve">Sonnenrand Beob. 1: </t>
  </si>
  <si>
    <t xml:space="preserve">Sonnenrand Beob. 2: </t>
  </si>
  <si>
    <t>Borda Navigation 1772</t>
  </si>
  <si>
    <t>beobachtete Höhe h:</t>
  </si>
  <si>
    <t>dhma</t>
  </si>
  <si>
    <r>
      <rPr>
        <sz val="11"/>
        <color theme="1"/>
        <rFont val="Symbol"/>
        <charset val="2"/>
      </rPr>
      <t>j</t>
    </r>
    <r>
      <rPr>
        <sz val="11"/>
        <color theme="1"/>
        <rFont val="Helvetica Neue"/>
        <family val="2"/>
      </rPr>
      <t xml:space="preserve">uv = </t>
    </r>
  </si>
  <si>
    <t>Breite</t>
  </si>
  <si>
    <t xml:space="preserve">Radiant : </t>
  </si>
  <si>
    <t xml:space="preserve">Grad - Minuten : </t>
  </si>
  <si>
    <t xml:space="preserve">Interpoliert : </t>
  </si>
  <si>
    <t>Länge</t>
  </si>
  <si>
    <t xml:space="preserve">rad : </t>
  </si>
  <si>
    <t>UTC</t>
  </si>
  <si>
    <t>s2</t>
  </si>
  <si>
    <t>diff =</t>
  </si>
  <si>
    <t xml:space="preserve"> = WW</t>
  </si>
  <si>
    <t xml:space="preserve"> = EE</t>
  </si>
  <si>
    <t>Peilrichtungen</t>
  </si>
  <si>
    <t>Parameter :</t>
  </si>
  <si>
    <t>N/ S</t>
  </si>
  <si>
    <t>U =</t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</si>
  <si>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 Neue"/>
        <family val="2"/>
      </rPr>
      <t>1'</t>
    </r>
    <r>
      <rPr>
        <sz val="10"/>
        <color theme="1"/>
        <rFont val="Helvetica Neue"/>
        <family val="2"/>
        <charset val="2"/>
      </rPr>
      <t xml:space="preserve"> =</t>
    </r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</si>
  <si>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 Neue"/>
        <family val="2"/>
      </rPr>
      <t>2'</t>
    </r>
    <r>
      <rPr>
        <sz val="10"/>
        <color theme="1"/>
        <rFont val="Helvetica Neue"/>
        <family val="2"/>
        <charset val="2"/>
      </rPr>
      <t xml:space="preserve"> =</t>
    </r>
  </si>
  <si>
    <t>p1 =</t>
  </si>
  <si>
    <t>p2 =</t>
  </si>
  <si>
    <t>s1 =</t>
  </si>
  <si>
    <t>grta - grtb =</t>
  </si>
  <si>
    <t>q =</t>
  </si>
  <si>
    <t>s =</t>
  </si>
  <si>
    <t>z =</t>
  </si>
  <si>
    <t>a =</t>
  </si>
  <si>
    <t>b =</t>
  </si>
  <si>
    <t>dira =</t>
  </si>
  <si>
    <t>dirb =</t>
  </si>
  <si>
    <t>erste Beobachtung</t>
  </si>
  <si>
    <t>zweite Beobachtung</t>
  </si>
  <si>
    <t>EW =</t>
  </si>
  <si>
    <t>TG =</t>
  </si>
  <si>
    <t>Zeitdifferenz =</t>
  </si>
  <si>
    <t>Passwort: change</t>
  </si>
  <si>
    <t>Sonnenpositionen</t>
  </si>
  <si>
    <t>Symbol</t>
  </si>
  <si>
    <t>Obs. 1</t>
  </si>
  <si>
    <t>Obs. 2</t>
  </si>
  <si>
    <t xml:space="preserve">T = </t>
  </si>
  <si>
    <r>
      <t>L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</si>
  <si>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r>
      <t>𝜛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</si>
  <si>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>M =</t>
  </si>
  <si>
    <t xml:space="preserve">e = </t>
  </si>
  <si>
    <t xml:space="preserve">C = </t>
  </si>
  <si>
    <t xml:space="preserve">L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</si>
  <si>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</si>
  <si>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r>
      <t>g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</si>
  <si>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Grt0 = </t>
  </si>
  <si>
    <t xml:space="preserve">Grt = </t>
  </si>
  <si>
    <t xml:space="preserve">d = </t>
  </si>
  <si>
    <t xml:space="preserve">Grt° = </t>
  </si>
  <si>
    <t xml:space="preserve">d° = </t>
  </si>
  <si>
    <t>Bahnparameter</t>
  </si>
  <si>
    <t>Name</t>
  </si>
  <si>
    <t>Wert</t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</si>
  <si>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</si>
  <si>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</si>
  <si>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</si>
  <si>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</si>
  <si>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</si>
  <si>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</si>
  <si>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</si>
  <si>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</si>
  <si>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 xml:space="preserve">Dat ref = </t>
  </si>
  <si>
    <t>gewählt: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</si>
</sst>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_ ;[Red]\-0.00\ "/>
    <numFmt numFmtId="171" formatCode="0.000_ ;[Red]\-0.000\ "/>
    <numFmt numFmtId="172" formatCode="0.00;[Red]0.00"/>
    <numFmt numFmtId="173" formatCode="0.0000_ ;[Red]\-0.0000\ "/>
    <numFmt numFmtId="174" formatCode="0.00\°"/>
    <numFmt numFmtId="175" formatCode="0\°"/>
    <numFmt numFmtId="176" formatCode="0.000\°"/>
    <numFmt numFmtId="177" formatCode="000\°"/>
    <numFmt numFmtId="178" formatCode="0.00\'"/>
    <numFmt numFmtId="179" formatCode="0.0\'"/>
    <numFmt numFmtId="180" formatCode="0.00\°;[Red]0.00\°"/>
    <numFmt numFmtId="182" formatCode="0;[Red]0"/>
    <numFmt numFmtId="183" formatCode="#,##0.00\ _€"/>
    <numFmt numFmtId="184" formatCode="0.0\°"/>
    <numFmt numFmtId="185" formatCode="0.000\°;[Red]0.000\°"/>
    <numFmt numFmtId="186" formatCode="0.00\°;[Red]\-0.00\°"/>
    <numFmt numFmtId="187" formatCode="0.000000"/>
    <numFmt numFmtId="188" formatCode="0.0000E+00"/>
    <numFmt numFmtId="189" formatCode="d/m/yyyy;@"/>
  </numFmts>
  <fonts count="56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9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10"/>
      <color rgb="FFC00000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color theme="1"/>
      <name val="Symbol"/>
      <charset val="2"/>
    </font>
    <font>
      <b/>
      <sz val="10"/>
      <color rgb="FFFF0000"/>
      <name val="Helvetica Neue"/>
      <family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1"/>
      <color rgb="FFC00000"/>
      <name val="Helvetica Neue"/>
      <family val="2"/>
    </font>
    <font>
      <sz val="10"/>
      <color theme="1"/>
      <name val="Lucida Calligraphy Italic"/>
    </font>
    <font>
      <b/>
      <sz val="16"/>
      <color theme="1"/>
      <name val="Helvetica Neue"/>
      <family val="2"/>
    </font>
    <font>
      <sz val="11"/>
      <color rgb="FF00B050"/>
      <name val="Helvetica Neue"/>
      <family val="2"/>
    </font>
    <font>
      <sz val="12"/>
      <color rgb="FFC00000"/>
      <name val="Helvetica Neue"/>
      <family val="2"/>
    </font>
    <font>
      <sz val="18"/>
      <color theme="1"/>
      <name val="Lucida Calligraphy Italic"/>
    </font>
    <font>
      <i/>
      <sz val="20"/>
      <color rgb="FFC00000"/>
      <name val="Delta Jaeger Bold"/>
    </font>
    <font>
      <b/>
      <sz val="11"/>
      <color rgb="FF000000"/>
      <name val="Helvetica Neue"/>
      <family val="2"/>
    </font>
    <font>
      <b/>
      <sz val="10"/>
      <color theme="1"/>
      <name val="Helvetica Neue"/>
      <family val="2"/>
    </font>
    <font>
      <sz val="14"/>
      <color theme="1"/>
      <name val="Symbol"/>
      <charset val="2"/>
    </font>
    <font>
      <sz val="11"/>
      <color rgb="FF0070C0"/>
      <name val="Calibri"/>
      <family val="2"/>
      <scheme val="minor"/>
    </font>
    <font>
      <sz val="11"/>
      <color theme="1"/>
      <name val="Helvetica Neue"/>
      <family val="2"/>
      <charset val="2"/>
    </font>
    <font>
      <vertAlign val="subscript"/>
      <sz val="11"/>
      <color theme="1"/>
      <name val="Helvetica Neue"/>
      <family val="2"/>
    </font>
    <font>
      <u/>
      <sz val="11"/>
      <color theme="1"/>
      <name val="Helvetica Neue"/>
      <family val="2"/>
    </font>
    <font>
      <sz val="12"/>
      <color rgb="FF0070C0"/>
      <name val="Calibri"/>
      <family val="2"/>
      <scheme val="minor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vertAlign val="subscript"/>
      <sz val="12"/>
      <color theme="1"/>
      <name val="Calibri (Textkörper)"/>
    </font>
    <font>
      <sz val="12"/>
      <color rgb="FFFF0000"/>
      <name val="Calibri"/>
      <family val="2"/>
      <scheme val="minor"/>
    </font>
    <font>
      <sz val="12"/>
      <name val="Symbol"/>
      <charset val="2"/>
    </font>
    <font>
      <sz val="12"/>
      <name val="Calibri"/>
      <family val="2"/>
      <charset val="2"/>
    </font>
    <font>
      <vertAlign val="subscript"/>
      <sz val="12"/>
      <name val="Helvetica Neue"/>
      <family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FF0000"/>
      <name val="Helvetica Neue"/>
      <family val="2"/>
    </font>
    <font>
      <sz val="11"/>
      <color rgb="FF0070C0"/>
      <name val="Helvetica Neue"/>
      <family val="2"/>
    </font>
    <font>
      <sz val="11"/>
      <color rgb="FFFF0000"/>
      <name val="Calibri"/>
      <family val="2"/>
      <scheme val="minor"/>
    </font>
    <font>
      <sz val="14"/>
      <color theme="1"/>
      <name val="Lucida Calligraphy Italic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Symbol"/>
      <charset val="2"/>
    </font>
    <font>
      <sz val="10"/>
      <color theme="1"/>
      <name val="Helvetica Neue"/>
      <family val="2"/>
      <charset val="2"/>
    </font>
    <font>
      <sz val="16"/>
      <color theme="1"/>
      <name val="Helvetica Neue"/>
      <family val="2"/>
    </font>
    <font>
      <sz val="8"/>
      <color theme="1"/>
      <name val="Calibri (Textkörper)_x0000_"/>
    </font>
    <font>
      <sz val="8"/>
      <color theme="1"/>
      <name val="Calibri (Textkörper)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FAD6"/>
        <bgColor indexed="64"/>
      </patternFill>
    </fill>
  </fills>
  <borders count="169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 style="medium">
        <color rgb="FF00B050"/>
      </right>
      <top/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thin">
        <color rgb="FF0070C0"/>
      </bottom>
      <diagonal/>
    </border>
    <border>
      <left/>
      <right/>
      <top style="medium">
        <color rgb="FF0070C0"/>
      </top>
      <bottom style="thin">
        <color rgb="FF0070C0"/>
      </bottom>
      <diagonal/>
    </border>
    <border>
      <left/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 style="medium">
        <color rgb="FF0070C0"/>
      </left>
      <right/>
      <top style="thin">
        <color rgb="FF0070C0"/>
      </top>
      <bottom style="medium">
        <color rgb="FF0070C0"/>
      </bottom>
      <diagonal/>
    </border>
    <border>
      <left/>
      <right/>
      <top style="thin">
        <color rgb="FF0070C0"/>
      </top>
      <bottom style="medium">
        <color rgb="FF0070C0"/>
      </bottom>
      <diagonal/>
    </border>
    <border>
      <left/>
      <right style="medium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/>
      <top style="medium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medium">
        <color rgb="FF0070C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 style="thin">
        <color rgb="FFC00000"/>
      </left>
      <right/>
      <top/>
      <bottom style="hair">
        <color rgb="FFC0000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/>
      <right/>
      <top/>
      <bottom style="thin">
        <color auto="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2" tint="-0.24994659260841701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2" tint="-0.24994659260841701"/>
      </bottom>
      <diagonal/>
    </border>
    <border>
      <left/>
      <right style="thin">
        <color theme="0" tint="-0.34998626667073579"/>
      </right>
      <top style="hair">
        <color theme="0" tint="-0.34998626667073579"/>
      </top>
      <bottom style="medium">
        <color theme="2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rgb="FF0070C0"/>
      </left>
      <right/>
      <top style="thin">
        <color rgb="FF0070C0"/>
      </top>
      <bottom style="hair">
        <color rgb="FF0070C0"/>
      </bottom>
      <diagonal/>
    </border>
    <border>
      <left/>
      <right/>
      <top/>
      <bottom style="medium">
        <color rgb="FF0070C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/>
      <right/>
      <top/>
      <bottom style="hair">
        <color rgb="FF0070C0"/>
      </bottom>
      <diagonal/>
    </border>
    <border>
      <left/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/>
      <top style="thin">
        <color rgb="FF0070C0"/>
      </top>
      <bottom style="hair">
        <color rgb="FF0070C0"/>
      </bottom>
      <diagonal/>
    </border>
    <border>
      <left style="thin">
        <color rgb="FF0070C0"/>
      </left>
      <right/>
      <top style="hair">
        <color rgb="FF0070C0"/>
      </top>
      <bottom style="thin">
        <color rgb="FF0070C0"/>
      </bottom>
      <diagonal/>
    </border>
    <border>
      <left/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/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medium">
        <color rgb="FF0070C0"/>
      </left>
      <right/>
      <top/>
      <bottom style="thin">
        <color rgb="FF0070C0"/>
      </bottom>
      <diagonal/>
    </border>
    <border>
      <left/>
      <right/>
      <top style="thin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medium">
        <color rgb="FFC00000"/>
      </right>
      <top style="hair">
        <color rgb="FFC00000"/>
      </top>
      <bottom/>
      <diagonal/>
    </border>
    <border>
      <left style="medium">
        <color rgb="FFC00000"/>
      </left>
      <right style="thin">
        <color rgb="FFC00000"/>
      </right>
      <top/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/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/>
      <diagonal/>
    </border>
    <border>
      <left style="thin">
        <color rgb="FFC00000"/>
      </left>
      <right style="medium">
        <color rgb="FFC00000"/>
      </right>
      <top/>
      <bottom/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91">
    <xf numFmtId="0" fontId="0" fillId="0" borderId="0" xfId="0"/>
    <xf numFmtId="0" fontId="8" fillId="0" borderId="0" xfId="0" applyFont="1" applyProtection="1">
      <protection hidden="1"/>
    </xf>
    <xf numFmtId="0" fontId="8" fillId="0" borderId="0" xfId="0" applyFont="1" applyBorder="1" applyProtection="1">
      <protection hidden="1"/>
    </xf>
    <xf numFmtId="0" fontId="8" fillId="0" borderId="0" xfId="0" applyFont="1" applyBorder="1" applyAlignment="1" applyProtection="1">
      <alignment horizontal="center"/>
      <protection hidden="1"/>
    </xf>
    <xf numFmtId="167" fontId="8" fillId="0" borderId="0" xfId="0" applyNumberFormat="1" applyFont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2" fontId="8" fillId="0" borderId="0" xfId="0" applyNumberFormat="1" applyFont="1" applyBorder="1" applyAlignment="1" applyProtection="1">
      <alignment horizontal="center"/>
      <protection hidden="1"/>
    </xf>
    <xf numFmtId="164" fontId="8" fillId="0" borderId="0" xfId="0" applyNumberFormat="1" applyFont="1" applyBorder="1" applyAlignment="1" applyProtection="1">
      <alignment horizontal="center"/>
      <protection hidden="1"/>
    </xf>
    <xf numFmtId="0" fontId="8" fillId="0" borderId="0" xfId="0" applyFont="1" applyAlignme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Border="1" applyProtection="1">
      <protection hidden="1"/>
    </xf>
    <xf numFmtId="0" fontId="3" fillId="0" borderId="0" xfId="0" applyFont="1" applyProtection="1">
      <protection hidden="1"/>
    </xf>
    <xf numFmtId="2" fontId="0" fillId="0" borderId="0" xfId="0" applyNumberFormat="1" applyProtection="1">
      <protection hidden="1"/>
    </xf>
    <xf numFmtId="0" fontId="10" fillId="0" borderId="0" xfId="0" applyFont="1" applyBorder="1" applyAlignment="1" applyProtection="1">
      <alignment horizontal="right"/>
      <protection hidden="1"/>
    </xf>
    <xf numFmtId="0" fontId="10" fillId="0" borderId="0" xfId="0" applyFont="1" applyAlignment="1" applyProtection="1">
      <alignment horizontal="right"/>
      <protection hidden="1"/>
    </xf>
    <xf numFmtId="0" fontId="6" fillId="0" borderId="0" xfId="0" applyFont="1" applyProtection="1"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2" fontId="0" fillId="0" borderId="0" xfId="0" applyNumberFormat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16" fontId="8" fillId="0" borderId="0" xfId="0" applyNumberFormat="1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7" fillId="0" borderId="0" xfId="0" applyFont="1" applyBorder="1" applyProtection="1">
      <protection hidden="1"/>
    </xf>
    <xf numFmtId="0" fontId="16" fillId="0" borderId="0" xfId="0" applyFont="1" applyProtection="1">
      <protection hidden="1"/>
    </xf>
    <xf numFmtId="170" fontId="0" fillId="0" borderId="0" xfId="0" applyNumberFormat="1" applyProtection="1">
      <protection hidden="1"/>
    </xf>
    <xf numFmtId="1" fontId="9" fillId="0" borderId="0" xfId="0" applyNumberFormat="1" applyFont="1" applyAlignment="1" applyProtection="1">
      <alignment horizontal="left"/>
      <protection hidden="1"/>
    </xf>
    <xf numFmtId="172" fontId="0" fillId="0" borderId="0" xfId="0" applyNumberForma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9" fillId="0" borderId="0" xfId="0" applyFont="1" applyAlignment="1" applyProtection="1">
      <alignment horizontal="right"/>
      <protection hidden="1"/>
    </xf>
    <xf numFmtId="0" fontId="20" fillId="0" borderId="0" xfId="0" applyFont="1" applyAlignment="1" applyProtection="1">
      <alignment vertical="center"/>
      <protection hidden="1"/>
    </xf>
    <xf numFmtId="0" fontId="18" fillId="0" borderId="0" xfId="0" applyFont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166" fontId="5" fillId="0" borderId="0" xfId="0" applyNumberFormat="1" applyFont="1" applyBorder="1" applyAlignment="1" applyProtection="1">
      <alignment horizontal="right" vertical="center"/>
      <protection hidden="1"/>
    </xf>
    <xf numFmtId="0" fontId="23" fillId="0" borderId="0" xfId="0" applyFont="1" applyAlignment="1" applyProtection="1">
      <alignment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24" fillId="0" borderId="0" xfId="0" applyFont="1" applyProtection="1">
      <protection hidden="1"/>
    </xf>
    <xf numFmtId="0" fontId="25" fillId="0" borderId="0" xfId="0" applyFont="1" applyProtection="1">
      <protection hidden="1"/>
    </xf>
    <xf numFmtId="0" fontId="10" fillId="0" borderId="5" xfId="0" applyFont="1" applyBorder="1" applyAlignment="1" applyProtection="1">
      <alignment horizontal="right" vertical="center"/>
      <protection hidden="1"/>
    </xf>
    <xf numFmtId="0" fontId="19" fillId="0" borderId="2" xfId="0" applyFont="1" applyBorder="1" applyAlignment="1" applyProtection="1">
      <alignment horizontal="right" vertical="center"/>
      <protection hidden="1"/>
    </xf>
    <xf numFmtId="175" fontId="7" fillId="2" borderId="1" xfId="0" applyNumberFormat="1" applyFont="1" applyFill="1" applyBorder="1" applyAlignment="1" applyProtection="1">
      <alignment horizontal="right" vertical="center"/>
      <protection locked="0"/>
    </xf>
    <xf numFmtId="0" fontId="10" fillId="0" borderId="0" xfId="0" applyFont="1" applyBorder="1" applyAlignment="1" applyProtection="1">
      <alignment horizontal="right" vertical="center"/>
      <protection hidden="1"/>
    </xf>
    <xf numFmtId="0" fontId="0" fillId="0" borderId="2" xfId="0" applyBorder="1" applyProtection="1">
      <protection hidden="1"/>
    </xf>
    <xf numFmtId="0" fontId="18" fillId="0" borderId="0" xfId="0" applyFont="1" applyBorder="1" applyAlignment="1" applyProtection="1">
      <protection hidden="1"/>
    </xf>
    <xf numFmtId="0" fontId="0" fillId="0" borderId="1" xfId="0" applyFont="1" applyFill="1" applyBorder="1" applyAlignment="1" applyProtection="1">
      <alignment horizontal="left" vertical="center"/>
      <protection hidden="1"/>
    </xf>
    <xf numFmtId="0" fontId="0" fillId="0" borderId="3" xfId="0" applyBorder="1" applyProtection="1">
      <protection hidden="1"/>
    </xf>
    <xf numFmtId="175" fontId="17" fillId="0" borderId="1" xfId="0" applyNumberFormat="1" applyFont="1" applyBorder="1" applyAlignment="1" applyProtection="1">
      <alignment horizontal="right" vertical="center"/>
      <protection hidden="1"/>
    </xf>
    <xf numFmtId="178" fontId="17" fillId="0" borderId="2" xfId="0" applyNumberFormat="1" applyFont="1" applyBorder="1" applyAlignment="1" applyProtection="1">
      <alignment horizontal="right" vertical="center"/>
      <protection hidden="1"/>
    </xf>
    <xf numFmtId="171" fontId="17" fillId="0" borderId="3" xfId="0" applyNumberFormat="1" applyFont="1" applyBorder="1" applyAlignment="1" applyProtection="1">
      <alignment horizontal="left" vertical="center"/>
      <protection hidden="1"/>
    </xf>
    <xf numFmtId="177" fontId="17" fillId="0" borderId="2" xfId="0" applyNumberFormat="1" applyFont="1" applyBorder="1" applyAlignment="1" applyProtection="1">
      <alignment horizontal="right" vertical="center"/>
      <protection hidden="1"/>
    </xf>
    <xf numFmtId="178" fontId="17" fillId="0" borderId="2" xfId="0" applyNumberFormat="1" applyFont="1" applyBorder="1" applyAlignment="1" applyProtection="1">
      <alignment horizontal="center" vertical="center"/>
      <protection hidden="1"/>
    </xf>
    <xf numFmtId="171" fontId="26" fillId="0" borderId="3" xfId="0" applyNumberFormat="1" applyFont="1" applyBorder="1" applyAlignment="1" applyProtection="1">
      <alignment horizontal="left" vertical="center"/>
      <protection hidden="1"/>
    </xf>
    <xf numFmtId="0" fontId="7" fillId="0" borderId="8" xfId="0" applyFont="1" applyBorder="1" applyAlignment="1" applyProtection="1">
      <alignment horizontal="right"/>
      <protection hidden="1"/>
    </xf>
    <xf numFmtId="0" fontId="7" fillId="0" borderId="10" xfId="0" applyFont="1" applyBorder="1" applyAlignment="1" applyProtection="1">
      <alignment horizontal="right"/>
      <protection hidden="1"/>
    </xf>
    <xf numFmtId="179" fontId="7" fillId="2" borderId="3" xfId="0" applyNumberFormat="1" applyFont="1" applyFill="1" applyBorder="1" applyAlignment="1" applyProtection="1">
      <alignment horizontal="center" vertical="center"/>
      <protection locked="0"/>
    </xf>
    <xf numFmtId="0" fontId="14" fillId="0" borderId="0" xfId="0" applyFont="1" applyBorder="1" applyAlignment="1" applyProtection="1">
      <alignment horizontal="right"/>
      <protection hidden="1"/>
    </xf>
    <xf numFmtId="0" fontId="7" fillId="0" borderId="0" xfId="0" applyFont="1" applyBorder="1" applyAlignment="1" applyProtection="1">
      <alignment horizontal="right" vertical="center"/>
      <protection hidden="1"/>
    </xf>
    <xf numFmtId="165" fontId="23" fillId="0" borderId="4" xfId="0" applyNumberFormat="1" applyFont="1" applyBorder="1" applyAlignment="1" applyProtection="1">
      <alignment horizontal="center" vertical="center"/>
      <protection hidden="1"/>
    </xf>
    <xf numFmtId="165" fontId="5" fillId="0" borderId="0" xfId="0" applyNumberFormat="1" applyFont="1" applyAlignment="1" applyProtection="1">
      <alignment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27" fillId="0" borderId="1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164" fontId="16" fillId="0" borderId="0" xfId="0" applyNumberFormat="1" applyFont="1" applyBorder="1" applyAlignment="1" applyProtection="1">
      <alignment horizontal="left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180" fontId="7" fillId="0" borderId="0" xfId="0" applyNumberFormat="1" applyFont="1" applyBorder="1" applyAlignment="1" applyProtection="1">
      <alignment horizontal="center" vertical="center"/>
      <protection hidden="1"/>
    </xf>
    <xf numFmtId="170" fontId="7" fillId="0" borderId="0" xfId="0" applyNumberFormat="1" applyFont="1" applyFill="1" applyBorder="1" applyAlignment="1" applyProtection="1">
      <alignment horizontal="center" vertical="center"/>
      <protection hidden="1"/>
    </xf>
    <xf numFmtId="180" fontId="7" fillId="0" borderId="0" xfId="0" applyNumberFormat="1" applyFont="1" applyFill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/>
      <protection hidden="1"/>
    </xf>
    <xf numFmtId="164" fontId="7" fillId="0" borderId="0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164" fontId="15" fillId="0" borderId="0" xfId="0" applyNumberFormat="1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2" fontId="15" fillId="0" borderId="0" xfId="0" applyNumberFormat="1" applyFont="1" applyBorder="1" applyAlignment="1" applyProtection="1">
      <alignment horizontal="center" vertical="center"/>
      <protection hidden="1"/>
    </xf>
    <xf numFmtId="0" fontId="15" fillId="0" borderId="0" xfId="0" applyFont="1" applyBorder="1" applyProtection="1"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164" fontId="7" fillId="0" borderId="0" xfId="0" applyNumberFormat="1" applyFont="1" applyBorder="1" applyAlignment="1" applyProtection="1">
      <alignment horizontal="left" vertical="center"/>
      <protection hidden="1"/>
    </xf>
    <xf numFmtId="0" fontId="30" fillId="0" borderId="0" xfId="0" applyFont="1" applyFill="1" applyBorder="1" applyAlignment="1" applyProtection="1">
      <alignment horizontal="center" vertical="center"/>
      <protection hidden="1"/>
    </xf>
    <xf numFmtId="1" fontId="15" fillId="0" borderId="0" xfId="0" applyNumberFormat="1" applyFont="1" applyBorder="1" applyAlignment="1" applyProtection="1">
      <alignment horizontal="center" vertical="center"/>
      <protection hidden="1"/>
    </xf>
    <xf numFmtId="1" fontId="7" fillId="0" borderId="0" xfId="0" applyNumberFormat="1" applyFont="1" applyBorder="1" applyProtection="1"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172" fontId="15" fillId="0" borderId="0" xfId="0" applyNumberFormat="1" applyFont="1" applyBorder="1" applyAlignment="1" applyProtection="1">
      <alignment horizontal="center" vertical="center"/>
      <protection hidden="1"/>
    </xf>
    <xf numFmtId="172" fontId="7" fillId="0" borderId="0" xfId="0" applyNumberFormat="1" applyFont="1" applyBorder="1" applyAlignment="1" applyProtection="1">
      <alignment horizontal="center" vertical="center"/>
      <protection hidden="1"/>
    </xf>
    <xf numFmtId="0" fontId="7" fillId="0" borderId="37" xfId="0" applyFont="1" applyBorder="1" applyProtection="1">
      <protection hidden="1"/>
    </xf>
    <xf numFmtId="2" fontId="7" fillId="0" borderId="12" xfId="0" applyNumberFormat="1" applyFont="1" applyBorder="1" applyAlignment="1" applyProtection="1">
      <alignment horizontal="center" vertical="center"/>
      <protection hidden="1"/>
    </xf>
    <xf numFmtId="0" fontId="7" fillId="0" borderId="12" xfId="0" applyFont="1" applyBorder="1" applyProtection="1">
      <protection hidden="1"/>
    </xf>
    <xf numFmtId="0" fontId="30" fillId="0" borderId="38" xfId="0" applyFont="1" applyBorder="1" applyAlignment="1" applyProtection="1">
      <alignment horizont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0" fontId="12" fillId="0" borderId="14" xfId="0" applyFont="1" applyBorder="1" applyAlignment="1" applyProtection="1">
      <alignment horizontal="center" vertical="center"/>
      <protection hidden="1"/>
    </xf>
    <xf numFmtId="0" fontId="7" fillId="0" borderId="14" xfId="0" applyFont="1" applyBorder="1" applyAlignment="1" applyProtection="1">
      <alignment horizontal="center" vertical="center"/>
      <protection hidden="1"/>
    </xf>
    <xf numFmtId="0" fontId="7" fillId="0" borderId="15" xfId="0" applyFont="1" applyBorder="1" applyAlignment="1" applyProtection="1">
      <alignment horizontal="center" vertical="center"/>
      <protection hidden="1"/>
    </xf>
    <xf numFmtId="0" fontId="5" fillId="0" borderId="39" xfId="0" applyFont="1" applyBorder="1" applyAlignment="1" applyProtection="1">
      <alignment horizontal="center" vertical="center"/>
      <protection hidden="1"/>
    </xf>
    <xf numFmtId="0" fontId="5" fillId="0" borderId="40" xfId="0" applyFont="1" applyBorder="1" applyAlignment="1" applyProtection="1">
      <alignment horizontal="center" vertical="center"/>
      <protection hidden="1"/>
    </xf>
    <xf numFmtId="0" fontId="7" fillId="0" borderId="0" xfId="0" applyFont="1" applyFill="1" applyBorder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15" fillId="0" borderId="41" xfId="0" applyFont="1" applyBorder="1" applyAlignment="1" applyProtection="1">
      <alignment horizontal="center" vertical="center"/>
      <protection hidden="1"/>
    </xf>
    <xf numFmtId="164" fontId="7" fillId="0" borderId="45" xfId="0" applyNumberFormat="1" applyFont="1" applyBorder="1" applyAlignment="1" applyProtection="1">
      <alignment horizontal="right" vertical="center"/>
      <protection hidden="1"/>
    </xf>
    <xf numFmtId="174" fontId="7" fillId="0" borderId="47" xfId="0" applyNumberFormat="1" applyFont="1" applyBorder="1" applyAlignment="1" applyProtection="1">
      <alignment horizontal="center" vertical="center"/>
      <protection hidden="1"/>
    </xf>
    <xf numFmtId="164" fontId="7" fillId="0" borderId="48" xfId="0" applyNumberFormat="1" applyFont="1" applyBorder="1" applyAlignment="1" applyProtection="1">
      <alignment horizontal="right" vertical="center"/>
      <protection hidden="1"/>
    </xf>
    <xf numFmtId="0" fontId="7" fillId="0" borderId="46" xfId="0" applyFont="1" applyBorder="1" applyAlignment="1" applyProtection="1">
      <alignment horizontal="right"/>
      <protection hidden="1"/>
    </xf>
    <xf numFmtId="0" fontId="7" fillId="0" borderId="49" xfId="0" applyFont="1" applyBorder="1" applyAlignment="1" applyProtection="1">
      <alignment horizontal="right"/>
      <protection hidden="1"/>
    </xf>
    <xf numFmtId="1" fontId="21" fillId="0" borderId="0" xfId="0" applyNumberFormat="1" applyFont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protection hidden="1"/>
    </xf>
    <xf numFmtId="180" fontId="16" fillId="0" borderId="0" xfId="0" applyNumberFormat="1" applyFont="1" applyFill="1" applyBorder="1" applyAlignment="1" applyProtection="1">
      <alignment horizontal="center" vertical="center"/>
      <protection hidden="1"/>
    </xf>
    <xf numFmtId="182" fontId="0" fillId="0" borderId="9" xfId="0" applyNumberFormat="1" applyBorder="1" applyAlignment="1" applyProtection="1">
      <alignment horizontal="center"/>
      <protection hidden="1"/>
    </xf>
    <xf numFmtId="0" fontId="7" fillId="0" borderId="41" xfId="0" applyFont="1" applyBorder="1" applyProtection="1">
      <protection hidden="1"/>
    </xf>
    <xf numFmtId="164" fontId="15" fillId="0" borderId="41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0" xfId="0" applyNumberFormat="1" applyFont="1" applyProtection="1">
      <protection hidden="1"/>
    </xf>
    <xf numFmtId="175" fontId="5" fillId="0" borderId="16" xfId="0" applyNumberFormat="1" applyFont="1" applyBorder="1" applyAlignment="1" applyProtection="1">
      <alignment vertical="center"/>
      <protection hidden="1"/>
    </xf>
    <xf numFmtId="178" fontId="5" fillId="0" borderId="31" xfId="0" applyNumberFormat="1" applyFont="1" applyBorder="1" applyAlignment="1" applyProtection="1">
      <alignment horizontal="center" vertical="center"/>
      <protection hidden="1"/>
    </xf>
    <xf numFmtId="164" fontId="8" fillId="0" borderId="0" xfId="0" applyNumberFormat="1" applyFont="1" applyBorder="1" applyAlignment="1" applyProtection="1">
      <protection hidden="1"/>
    </xf>
    <xf numFmtId="172" fontId="7" fillId="0" borderId="0" xfId="0" applyNumberFormat="1" applyFont="1" applyBorder="1" applyAlignment="1" applyProtection="1">
      <alignment horizontal="right" vertical="center"/>
      <protection hidden="1"/>
    </xf>
    <xf numFmtId="174" fontId="7" fillId="0" borderId="0" xfId="0" applyNumberFormat="1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horizontal="center"/>
      <protection hidden="1"/>
    </xf>
    <xf numFmtId="182" fontId="7" fillId="0" borderId="0" xfId="0" applyNumberFormat="1" applyFont="1" applyBorder="1" applyAlignment="1" applyProtection="1">
      <alignment horizontal="center" vertical="center"/>
      <protection hidden="1"/>
    </xf>
    <xf numFmtId="0" fontId="30" fillId="0" borderId="33" xfId="0" applyFont="1" applyBorder="1" applyAlignment="1" applyProtection="1">
      <alignment horizontal="center"/>
      <protection hidden="1"/>
    </xf>
    <xf numFmtId="175" fontId="5" fillId="0" borderId="0" xfId="0" applyNumberFormat="1" applyFont="1" applyBorder="1" applyAlignment="1" applyProtection="1">
      <alignment vertical="center"/>
      <protection hidden="1"/>
    </xf>
    <xf numFmtId="178" fontId="5" fillId="0" borderId="0" xfId="0" applyNumberFormat="1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2" fontId="8" fillId="0" borderId="0" xfId="0" applyNumberFormat="1" applyFont="1" applyProtection="1">
      <protection hidden="1"/>
    </xf>
    <xf numFmtId="0" fontId="8" fillId="0" borderId="67" xfId="0" applyFont="1" applyBorder="1" applyProtection="1">
      <protection hidden="1"/>
    </xf>
    <xf numFmtId="0" fontId="5" fillId="0" borderId="21" xfId="0" applyFont="1" applyBorder="1" applyAlignment="1" applyProtection="1">
      <alignment horizontal="center"/>
      <protection hidden="1"/>
    </xf>
    <xf numFmtId="0" fontId="5" fillId="0" borderId="22" xfId="0" applyFont="1" applyBorder="1" applyAlignment="1" applyProtection="1">
      <alignment horizontal="center"/>
      <protection hidden="1"/>
    </xf>
    <xf numFmtId="0" fontId="5" fillId="0" borderId="53" xfId="0" applyFont="1" applyBorder="1" applyProtection="1">
      <protection hidden="1"/>
    </xf>
    <xf numFmtId="172" fontId="7" fillId="0" borderId="37" xfId="0" applyNumberFormat="1" applyFont="1" applyBorder="1" applyAlignment="1" applyProtection="1">
      <alignment horizontal="center"/>
      <protection hidden="1"/>
    </xf>
    <xf numFmtId="174" fontId="7" fillId="0" borderId="12" xfId="0" applyNumberFormat="1" applyFont="1" applyBorder="1" applyAlignment="1" applyProtection="1">
      <alignment horizontal="center" vertical="center"/>
      <protection hidden="1"/>
    </xf>
    <xf numFmtId="170" fontId="7" fillId="0" borderId="12" xfId="0" applyNumberFormat="1" applyFont="1" applyBorder="1" applyProtection="1">
      <protection hidden="1"/>
    </xf>
    <xf numFmtId="170" fontId="7" fillId="0" borderId="0" xfId="0" applyNumberFormat="1" applyFont="1" applyBorder="1" applyProtection="1">
      <protection hidden="1"/>
    </xf>
    <xf numFmtId="182" fontId="0" fillId="0" borderId="0" xfId="0" applyNumberFormat="1" applyBorder="1" applyAlignment="1" applyProtection="1">
      <alignment horizontal="center"/>
      <protection hidden="1"/>
    </xf>
    <xf numFmtId="164" fontId="15" fillId="0" borderId="9" xfId="0" applyNumberFormat="1" applyFont="1" applyBorder="1" applyAlignment="1" applyProtection="1">
      <alignment horizontal="center" vertical="center"/>
      <protection hidden="1"/>
    </xf>
    <xf numFmtId="0" fontId="35" fillId="0" borderId="6" xfId="0" applyFont="1" applyFill="1" applyBorder="1" applyAlignment="1" applyProtection="1">
      <alignment horizontal="right"/>
      <protection hidden="1"/>
    </xf>
    <xf numFmtId="176" fontId="7" fillId="0" borderId="7" xfId="0" applyNumberFormat="1" applyFont="1" applyFill="1" applyBorder="1" applyAlignment="1" applyProtection="1">
      <alignment horizontal="center" vertical="center"/>
      <protection hidden="1"/>
    </xf>
    <xf numFmtId="173" fontId="14" fillId="0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Fill="1" applyBorder="1" applyAlignment="1" applyProtection="1">
      <alignment horizontal="right"/>
      <protection hidden="1"/>
    </xf>
    <xf numFmtId="173" fontId="7" fillId="0" borderId="11" xfId="0" applyNumberFormat="1" applyFont="1" applyFill="1" applyBorder="1" applyAlignment="1" applyProtection="1">
      <alignment horizontal="center" vertical="center"/>
      <protection hidden="1"/>
    </xf>
    <xf numFmtId="164" fontId="15" fillId="0" borderId="32" xfId="0" applyNumberFormat="1" applyFont="1" applyBorder="1" applyAlignment="1" applyProtection="1">
      <alignment horizontal="center" vertical="center"/>
      <protection hidden="1"/>
    </xf>
    <xf numFmtId="173" fontId="7" fillId="0" borderId="0" xfId="0" applyNumberFormat="1" applyFont="1" applyBorder="1" applyProtection="1">
      <protection hidden="1"/>
    </xf>
    <xf numFmtId="168" fontId="7" fillId="0" borderId="69" xfId="0" applyNumberFormat="1" applyFont="1" applyBorder="1" applyAlignment="1" applyProtection="1">
      <alignment horizontal="right"/>
      <protection hidden="1"/>
    </xf>
    <xf numFmtId="0" fontId="7" fillId="0" borderId="70" xfId="0" applyFont="1" applyBorder="1" applyAlignment="1" applyProtection="1">
      <alignment horizontal="right"/>
      <protection hidden="1"/>
    </xf>
    <xf numFmtId="175" fontId="7" fillId="0" borderId="71" xfId="0" applyNumberFormat="1" applyFont="1" applyBorder="1" applyAlignment="1" applyProtection="1">
      <alignment horizontal="right"/>
      <protection hidden="1"/>
    </xf>
    <xf numFmtId="178" fontId="7" fillId="0" borderId="71" xfId="0" applyNumberFormat="1" applyFont="1" applyBorder="1" applyAlignment="1" applyProtection="1">
      <alignment horizontal="right"/>
      <protection hidden="1"/>
    </xf>
    <xf numFmtId="0" fontId="7" fillId="0" borderId="72" xfId="0" applyFont="1" applyBorder="1" applyProtection="1">
      <protection hidden="1"/>
    </xf>
    <xf numFmtId="178" fontId="7" fillId="0" borderId="73" xfId="0" applyNumberFormat="1" applyFont="1" applyBorder="1" applyAlignment="1" applyProtection="1">
      <alignment horizontal="right"/>
      <protection hidden="1"/>
    </xf>
    <xf numFmtId="0" fontId="7" fillId="0" borderId="74" xfId="0" applyFont="1" applyBorder="1" applyAlignment="1" applyProtection="1">
      <alignment horizontal="right"/>
      <protection hidden="1"/>
    </xf>
    <xf numFmtId="175" fontId="7" fillId="0" borderId="75" xfId="0" applyNumberFormat="1" applyFont="1" applyBorder="1" applyAlignment="1" applyProtection="1">
      <alignment horizontal="right"/>
      <protection hidden="1"/>
    </xf>
    <xf numFmtId="178" fontId="7" fillId="0" borderId="75" xfId="0" applyNumberFormat="1" applyFont="1" applyBorder="1" applyAlignment="1" applyProtection="1">
      <alignment horizontal="right"/>
      <protection hidden="1"/>
    </xf>
    <xf numFmtId="0" fontId="7" fillId="0" borderId="76" xfId="0" applyFont="1" applyBorder="1" applyProtection="1">
      <protection hidden="1"/>
    </xf>
    <xf numFmtId="178" fontId="7" fillId="0" borderId="77" xfId="0" applyNumberFormat="1" applyFont="1" applyBorder="1" applyAlignment="1" applyProtection="1">
      <alignment horizontal="right"/>
      <protection hidden="1"/>
    </xf>
    <xf numFmtId="0" fontId="0" fillId="0" borderId="74" xfId="0" applyBorder="1" applyAlignment="1" applyProtection="1">
      <alignment horizontal="right"/>
      <protection hidden="1"/>
    </xf>
    <xf numFmtId="0" fontId="0" fillId="0" borderId="76" xfId="0" applyBorder="1" applyProtection="1">
      <protection hidden="1"/>
    </xf>
    <xf numFmtId="0" fontId="0" fillId="0" borderId="75" xfId="0" applyBorder="1" applyProtection="1">
      <protection hidden="1"/>
    </xf>
    <xf numFmtId="0" fontId="0" fillId="0" borderId="77" xfId="0" applyBorder="1" applyProtection="1">
      <protection hidden="1"/>
    </xf>
    <xf numFmtId="0" fontId="7" fillId="0" borderId="78" xfId="0" applyFont="1" applyBorder="1" applyAlignment="1" applyProtection="1">
      <alignment horizontal="right"/>
      <protection hidden="1"/>
    </xf>
    <xf numFmtId="178" fontId="7" fillId="0" borderId="79" xfId="0" applyNumberFormat="1" applyFont="1" applyBorder="1" applyAlignment="1" applyProtection="1">
      <alignment horizontal="right"/>
      <protection hidden="1"/>
    </xf>
    <xf numFmtId="0" fontId="7" fillId="0" borderId="80" xfId="0" applyFont="1" applyBorder="1" applyProtection="1">
      <protection hidden="1"/>
    </xf>
    <xf numFmtId="178" fontId="7" fillId="0" borderId="81" xfId="0" applyNumberFormat="1" applyFont="1" applyBorder="1" applyAlignment="1" applyProtection="1">
      <alignment horizontal="right"/>
      <protection hidden="1"/>
    </xf>
    <xf numFmtId="175" fontId="5" fillId="0" borderId="83" xfId="0" applyNumberFormat="1" applyFont="1" applyBorder="1" applyAlignment="1" applyProtection="1">
      <alignment vertical="center"/>
      <protection hidden="1"/>
    </xf>
    <xf numFmtId="0" fontId="5" fillId="0" borderId="83" xfId="0" applyFont="1" applyBorder="1" applyAlignment="1" applyProtection="1">
      <alignment vertical="center"/>
      <protection hidden="1"/>
    </xf>
    <xf numFmtId="0" fontId="5" fillId="0" borderId="84" xfId="0" applyFont="1" applyBorder="1" applyAlignment="1" applyProtection="1">
      <alignment vertical="center"/>
      <protection hidden="1"/>
    </xf>
    <xf numFmtId="166" fontId="5" fillId="0" borderId="0" xfId="0" applyNumberFormat="1" applyFont="1" applyBorder="1" applyAlignment="1" applyProtection="1">
      <alignment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5" fillId="0" borderId="86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Border="1" applyAlignment="1" applyProtection="1">
      <alignment horizontal="left" vertical="center"/>
      <protection hidden="1"/>
    </xf>
    <xf numFmtId="176" fontId="5" fillId="0" borderId="86" xfId="0" applyNumberFormat="1" applyFont="1" applyBorder="1" applyAlignment="1" applyProtection="1">
      <alignment horizontal="center" vertical="center"/>
      <protection hidden="1"/>
    </xf>
    <xf numFmtId="166" fontId="5" fillId="0" borderId="88" xfId="0" applyNumberFormat="1" applyFont="1" applyBorder="1" applyAlignment="1" applyProtection="1">
      <alignment horizontal="right" vertical="center"/>
      <protection hidden="1"/>
    </xf>
    <xf numFmtId="166" fontId="5" fillId="0" borderId="88" xfId="0" applyNumberFormat="1" applyFont="1" applyBorder="1" applyAlignment="1" applyProtection="1">
      <alignment horizontal="left" vertical="center"/>
      <protection hidden="1"/>
    </xf>
    <xf numFmtId="176" fontId="5" fillId="0" borderId="89" xfId="0" applyNumberFormat="1" applyFont="1" applyFill="1" applyBorder="1" applyAlignment="1" applyProtection="1">
      <alignment horizontal="center" vertical="center"/>
      <protection hidden="1"/>
    </xf>
    <xf numFmtId="0" fontId="0" fillId="0" borderId="90" xfId="0" applyBorder="1" applyProtection="1">
      <protection hidden="1"/>
    </xf>
    <xf numFmtId="0" fontId="0" fillId="0" borderId="90" xfId="0" applyBorder="1" applyAlignment="1" applyProtection="1">
      <alignment horizontal="right"/>
      <protection hidden="1"/>
    </xf>
    <xf numFmtId="174" fontId="0" fillId="0" borderId="90" xfId="0" applyNumberFormat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center"/>
      <protection hidden="1"/>
    </xf>
    <xf numFmtId="170" fontId="0" fillId="0" borderId="0" xfId="0" applyNumberFormat="1" applyFill="1" applyAlignment="1" applyProtection="1">
      <alignment horizontal="center" vertical="center"/>
      <protection hidden="1"/>
    </xf>
    <xf numFmtId="0" fontId="37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38" fillId="0" borderId="91" xfId="0" applyFont="1" applyFill="1" applyBorder="1" applyAlignment="1" applyProtection="1">
      <alignment horizontal="center"/>
      <protection hidden="1"/>
    </xf>
    <xf numFmtId="0" fontId="39" fillId="0" borderId="92" xfId="0" applyFont="1" applyFill="1" applyBorder="1" applyAlignment="1" applyProtection="1">
      <alignment horizontal="center"/>
      <protection hidden="1"/>
    </xf>
    <xf numFmtId="0" fontId="34" fillId="0" borderId="92" xfId="0" applyFont="1" applyFill="1" applyBorder="1" applyAlignment="1" applyProtection="1">
      <alignment horizontal="center"/>
      <protection hidden="1"/>
    </xf>
    <xf numFmtId="0" fontId="41" fillId="0" borderId="92" xfId="0" applyFont="1" applyFill="1" applyBorder="1" applyAlignment="1" applyProtection="1">
      <alignment horizontal="center"/>
      <protection hidden="1"/>
    </xf>
    <xf numFmtId="0" fontId="38" fillId="0" borderId="92" xfId="0" applyFont="1" applyFill="1" applyBorder="1" applyAlignment="1" applyProtection="1">
      <alignment horizontal="center"/>
      <protection hidden="1"/>
    </xf>
    <xf numFmtId="0" fontId="42" fillId="0" borderId="93" xfId="0" applyFont="1" applyFill="1" applyBorder="1" applyAlignment="1" applyProtection="1">
      <alignment horizontal="center"/>
      <protection hidden="1"/>
    </xf>
    <xf numFmtId="183" fontId="5" fillId="2" borderId="94" xfId="0" applyNumberFormat="1" applyFont="1" applyFill="1" applyBorder="1" applyAlignment="1" applyProtection="1">
      <alignment horizontal="center"/>
      <protection hidden="1"/>
    </xf>
    <xf numFmtId="2" fontId="0" fillId="0" borderId="95" xfId="0" applyNumberFormat="1" applyFont="1" applyBorder="1" applyAlignment="1" applyProtection="1">
      <alignment horizontal="center"/>
      <protection hidden="1"/>
    </xf>
    <xf numFmtId="2" fontId="0" fillId="0" borderId="96" xfId="0" applyNumberFormat="1" applyFont="1" applyBorder="1" applyAlignment="1" applyProtection="1">
      <alignment horizontal="center"/>
      <protection hidden="1"/>
    </xf>
    <xf numFmtId="2" fontId="0" fillId="0" borderId="97" xfId="0" applyNumberFormat="1" applyFont="1" applyBorder="1" applyAlignment="1" applyProtection="1">
      <alignment horizontal="center"/>
      <protection hidden="1"/>
    </xf>
    <xf numFmtId="2" fontId="0" fillId="3" borderId="95" xfId="0" applyNumberFormat="1" applyFont="1" applyFill="1" applyBorder="1" applyAlignment="1" applyProtection="1">
      <alignment horizontal="center"/>
      <protection hidden="1"/>
    </xf>
    <xf numFmtId="2" fontId="43" fillId="0" borderId="96" xfId="0" applyNumberFormat="1" applyFont="1" applyFill="1" applyBorder="1" applyAlignment="1" applyProtection="1">
      <alignment horizontal="center"/>
      <protection hidden="1"/>
    </xf>
    <xf numFmtId="2" fontId="37" fillId="0" borderId="97" xfId="0" applyNumberFormat="1" applyFont="1" applyFill="1" applyBorder="1" applyAlignment="1" applyProtection="1">
      <alignment horizontal="center"/>
      <protection hidden="1"/>
    </xf>
    <xf numFmtId="2" fontId="44" fillId="3" borderId="97" xfId="0" applyNumberFormat="1" applyFont="1" applyFill="1" applyBorder="1" applyAlignment="1" applyProtection="1">
      <alignment horizontal="center"/>
      <protection hidden="1"/>
    </xf>
    <xf numFmtId="0" fontId="0" fillId="0" borderId="95" xfId="0" applyFill="1" applyBorder="1" applyProtection="1">
      <protection hidden="1"/>
    </xf>
    <xf numFmtId="2" fontId="7" fillId="0" borderId="99" xfId="0" applyNumberFormat="1" applyFont="1" applyBorder="1" applyAlignment="1" applyProtection="1">
      <alignment horizontal="center"/>
      <protection hidden="1"/>
    </xf>
    <xf numFmtId="174" fontId="17" fillId="0" borderId="100" xfId="0" applyNumberFormat="1" applyFont="1" applyBorder="1" applyAlignment="1" applyProtection="1">
      <alignment horizontal="center"/>
      <protection hidden="1"/>
    </xf>
    <xf numFmtId="174" fontId="17" fillId="0" borderId="101" xfId="0" applyNumberFormat="1" applyFont="1" applyBorder="1" applyAlignment="1" applyProtection="1">
      <alignment horizontal="center"/>
      <protection hidden="1"/>
    </xf>
    <xf numFmtId="174" fontId="17" fillId="3" borderId="99" xfId="0" applyNumberFormat="1" applyFont="1" applyFill="1" applyBorder="1" applyAlignment="1" applyProtection="1">
      <alignment horizontal="center"/>
      <protection hidden="1"/>
    </xf>
    <xf numFmtId="174" fontId="17" fillId="3" borderId="101" xfId="0" applyNumberFormat="1" applyFont="1" applyFill="1" applyBorder="1" applyAlignment="1" applyProtection="1">
      <alignment horizontal="center"/>
      <protection hidden="1"/>
    </xf>
    <xf numFmtId="0" fontId="0" fillId="0" borderId="99" xfId="0" applyFill="1" applyBorder="1" applyProtection="1">
      <protection hidden="1"/>
    </xf>
    <xf numFmtId="174" fontId="7" fillId="2" borderId="98" xfId="0" applyNumberFormat="1" applyFont="1" applyFill="1" applyBorder="1" applyAlignment="1" applyProtection="1">
      <alignment horizontal="center" vertical="center"/>
      <protection hidden="1"/>
    </xf>
    <xf numFmtId="174" fontId="7" fillId="0" borderId="100" xfId="0" applyNumberFormat="1" applyFont="1" applyBorder="1" applyAlignment="1" applyProtection="1">
      <alignment horizontal="center"/>
      <protection hidden="1"/>
    </xf>
    <xf numFmtId="174" fontId="7" fillId="0" borderId="101" xfId="0" applyNumberFormat="1" applyFont="1" applyBorder="1" applyAlignment="1" applyProtection="1">
      <alignment horizontal="center"/>
      <protection hidden="1"/>
    </xf>
    <xf numFmtId="174" fontId="7" fillId="3" borderId="99" xfId="0" applyNumberFormat="1" applyFont="1" applyFill="1" applyBorder="1" applyAlignment="1" applyProtection="1">
      <alignment horizontal="center"/>
      <protection hidden="1"/>
    </xf>
    <xf numFmtId="174" fontId="7" fillId="3" borderId="101" xfId="0" applyNumberFormat="1" applyFont="1" applyFill="1" applyBorder="1" applyAlignment="1" applyProtection="1">
      <alignment horizontal="center" vertical="center"/>
      <protection hidden="1"/>
    </xf>
    <xf numFmtId="174" fontId="17" fillId="2" borderId="98" xfId="0" applyNumberFormat="1" applyFont="1" applyFill="1" applyBorder="1" applyAlignment="1" applyProtection="1">
      <alignment horizontal="center" vertical="center"/>
      <protection hidden="1"/>
    </xf>
    <xf numFmtId="2" fontId="7" fillId="0" borderId="102" xfId="0" applyNumberFormat="1" applyFont="1" applyBorder="1" applyAlignment="1" applyProtection="1">
      <alignment horizontal="center"/>
      <protection hidden="1"/>
    </xf>
    <xf numFmtId="174" fontId="7" fillId="3" borderId="103" xfId="0" applyNumberFormat="1" applyFont="1" applyFill="1" applyBorder="1" applyAlignment="1" applyProtection="1">
      <alignment horizontal="center" vertical="center"/>
      <protection hidden="1"/>
    </xf>
    <xf numFmtId="0" fontId="0" fillId="0" borderId="102" xfId="0" applyFill="1" applyBorder="1" applyProtection="1">
      <protection hidden="1"/>
    </xf>
    <xf numFmtId="174" fontId="7" fillId="2" borderId="94" xfId="0" applyNumberFormat="1" applyFont="1" applyFill="1" applyBorder="1" applyAlignment="1" applyProtection="1">
      <alignment horizontal="center" vertical="center"/>
      <protection hidden="1"/>
    </xf>
    <xf numFmtId="170" fontId="7" fillId="0" borderId="95" xfId="0" applyNumberFormat="1" applyFont="1" applyBorder="1" applyAlignment="1" applyProtection="1">
      <alignment horizontal="center"/>
      <protection hidden="1"/>
    </xf>
    <xf numFmtId="0" fontId="7" fillId="0" borderId="96" xfId="0" applyFont="1" applyBorder="1" applyAlignment="1" applyProtection="1">
      <alignment horizontal="center"/>
      <protection hidden="1"/>
    </xf>
    <xf numFmtId="2" fontId="7" fillId="0" borderId="97" xfId="0" applyNumberFormat="1" applyFont="1" applyBorder="1" applyAlignment="1" applyProtection="1">
      <alignment horizontal="center"/>
      <protection hidden="1"/>
    </xf>
    <xf numFmtId="2" fontId="7" fillId="3" borderId="95" xfId="0" applyNumberFormat="1" applyFont="1" applyFill="1" applyBorder="1" applyAlignment="1" applyProtection="1">
      <alignment horizontal="center"/>
      <protection hidden="1"/>
    </xf>
    <xf numFmtId="0" fontId="22" fillId="0" borderId="96" xfId="0" applyFont="1" applyFill="1" applyBorder="1" applyAlignment="1" applyProtection="1">
      <alignment horizontal="center"/>
      <protection hidden="1"/>
    </xf>
    <xf numFmtId="0" fontId="45" fillId="0" borderId="97" xfId="0" applyFont="1" applyFill="1" applyBorder="1" applyAlignment="1" applyProtection="1">
      <alignment horizontal="center"/>
      <protection hidden="1"/>
    </xf>
    <xf numFmtId="0" fontId="0" fillId="3" borderId="97" xfId="0" applyFill="1" applyBorder="1" applyProtection="1">
      <protection hidden="1"/>
    </xf>
    <xf numFmtId="2" fontId="46" fillId="0" borderId="95" xfId="0" applyNumberFormat="1" applyFont="1" applyFill="1" applyBorder="1" applyAlignment="1" applyProtection="1">
      <alignment horizontal="center"/>
      <protection hidden="1"/>
    </xf>
    <xf numFmtId="174" fontId="7" fillId="2" borderId="104" xfId="0" applyNumberFormat="1" applyFont="1" applyFill="1" applyBorder="1" applyAlignment="1" applyProtection="1">
      <alignment horizontal="center" vertical="center"/>
      <protection hidden="1"/>
    </xf>
    <xf numFmtId="0" fontId="7" fillId="0" borderId="105" xfId="0" applyFont="1" applyBorder="1" applyAlignment="1" applyProtection="1">
      <alignment horizontal="center"/>
      <protection hidden="1"/>
    </xf>
    <xf numFmtId="0" fontId="7" fillId="0" borderId="106" xfId="0" applyFont="1" applyBorder="1" applyAlignment="1" applyProtection="1">
      <alignment horizontal="center"/>
      <protection hidden="1"/>
    </xf>
    <xf numFmtId="2" fontId="7" fillId="0" borderId="107" xfId="0" applyNumberFormat="1" applyFont="1" applyBorder="1" applyAlignment="1" applyProtection="1">
      <alignment horizontal="center"/>
      <protection hidden="1"/>
    </xf>
    <xf numFmtId="2" fontId="7" fillId="3" borderId="108" xfId="0" applyNumberFormat="1" applyFont="1" applyFill="1" applyBorder="1" applyAlignment="1" applyProtection="1">
      <alignment horizontal="center"/>
      <protection hidden="1"/>
    </xf>
    <xf numFmtId="0" fontId="22" fillId="0" borderId="109" xfId="0" applyFont="1" applyFill="1" applyBorder="1" applyAlignment="1" applyProtection="1">
      <alignment horizontal="center"/>
      <protection hidden="1"/>
    </xf>
    <xf numFmtId="0" fontId="45" fillId="0" borderId="107" xfId="0" applyFont="1" applyFill="1" applyBorder="1" applyAlignment="1" applyProtection="1">
      <alignment horizontal="center"/>
      <protection hidden="1"/>
    </xf>
    <xf numFmtId="0" fontId="0" fillId="3" borderId="107" xfId="0" applyFill="1" applyBorder="1" applyProtection="1">
      <protection hidden="1"/>
    </xf>
    <xf numFmtId="2" fontId="46" fillId="0" borderId="108" xfId="0" applyNumberFormat="1" applyFont="1" applyFill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184" fontId="0" fillId="2" borderId="69" xfId="0" applyNumberFormat="1" applyFill="1" applyBorder="1" applyAlignment="1" applyProtection="1">
      <alignment horizontal="center"/>
      <protection locked="0"/>
    </xf>
    <xf numFmtId="0" fontId="8" fillId="0" borderId="0" xfId="0" applyFont="1" applyFill="1" applyProtection="1">
      <protection hidden="1"/>
    </xf>
    <xf numFmtId="1" fontId="0" fillId="0" borderId="0" xfId="0" applyNumberFormat="1" applyProtection="1">
      <protection hidden="1"/>
    </xf>
    <xf numFmtId="165" fontId="5" fillId="0" borderId="0" xfId="0" applyNumberFormat="1" applyFont="1" applyFill="1" applyAlignment="1" applyProtection="1">
      <alignment vertical="center"/>
      <protection hidden="1"/>
    </xf>
    <xf numFmtId="165" fontId="5" fillId="0" borderId="0" xfId="0" applyNumberFormat="1" applyFont="1" applyFill="1" applyBorder="1" applyAlignment="1" applyProtection="1">
      <alignment vertical="center"/>
      <protection hidden="1"/>
    </xf>
    <xf numFmtId="0" fontId="8" fillId="0" borderId="0" xfId="0" applyFont="1" applyFill="1" applyBorder="1" applyProtection="1">
      <protection hidden="1"/>
    </xf>
    <xf numFmtId="0" fontId="8" fillId="3" borderId="0" xfId="0" applyFont="1" applyFill="1" applyProtection="1">
      <protection hidden="1"/>
    </xf>
    <xf numFmtId="179" fontId="7" fillId="2" borderId="26" xfId="0" applyNumberFormat="1" applyFont="1" applyFill="1" applyBorder="1" applyAlignment="1" applyProtection="1">
      <alignment horizontal="center"/>
      <protection locked="0"/>
    </xf>
    <xf numFmtId="179" fontId="7" fillId="2" borderId="11" xfId="0" applyNumberFormat="1" applyFont="1" applyFill="1" applyBorder="1" applyAlignment="1" applyProtection="1">
      <alignment horizontal="center"/>
      <protection locked="0"/>
    </xf>
    <xf numFmtId="0" fontId="7" fillId="0" borderId="112" xfId="0" applyFont="1" applyBorder="1" applyAlignment="1" applyProtection="1">
      <alignment horizontal="right" vertical="center"/>
      <protection hidden="1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7" fillId="0" borderId="111" xfId="0" applyFont="1" applyBorder="1" applyAlignment="1" applyProtection="1">
      <alignment vertical="center"/>
      <protection hidden="1"/>
    </xf>
    <xf numFmtId="0" fontId="7" fillId="0" borderId="111" xfId="0" applyFont="1" applyBorder="1" applyAlignment="1" applyProtection="1">
      <alignment horizontal="right" vertical="center"/>
      <protection hidden="1"/>
    </xf>
    <xf numFmtId="166" fontId="7" fillId="2" borderId="33" xfId="0" applyNumberFormat="1" applyFont="1" applyFill="1" applyBorder="1" applyAlignment="1" applyProtection="1">
      <alignment horizontal="center"/>
      <protection locked="0"/>
    </xf>
    <xf numFmtId="166" fontId="7" fillId="2" borderId="32" xfId="0" applyNumberFormat="1" applyFont="1" applyFill="1" applyBorder="1" applyAlignment="1" applyProtection="1">
      <alignment horizontal="center"/>
      <protection locked="0"/>
    </xf>
    <xf numFmtId="166" fontId="5" fillId="2" borderId="14" xfId="0" applyNumberFormat="1" applyFont="1" applyFill="1" applyBorder="1" applyAlignment="1" applyProtection="1">
      <alignment horizontal="center"/>
      <protection locked="0"/>
    </xf>
    <xf numFmtId="0" fontId="5" fillId="0" borderId="114" xfId="0" applyFont="1" applyBorder="1" applyAlignment="1" applyProtection="1">
      <alignment horizontal="center" vertical="center"/>
      <protection hidden="1"/>
    </xf>
    <xf numFmtId="2" fontId="0" fillId="0" borderId="0" xfId="0" applyNumberFormat="1" applyBorder="1" applyAlignment="1" applyProtection="1">
      <alignment horizontal="center"/>
      <protection hidden="1"/>
    </xf>
    <xf numFmtId="178" fontId="0" fillId="0" borderId="0" xfId="0" applyNumberForma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right" vertical="center"/>
      <protection hidden="1"/>
    </xf>
    <xf numFmtId="0" fontId="15" fillId="0" borderId="2" xfId="0" applyFont="1" applyBorder="1" applyProtection="1">
      <protection hidden="1"/>
    </xf>
    <xf numFmtId="0" fontId="19" fillId="0" borderId="3" xfId="0" applyFont="1" applyBorder="1" applyAlignment="1" applyProtection="1">
      <alignment horizontal="right" vertical="center"/>
      <protection hidden="1"/>
    </xf>
    <xf numFmtId="0" fontId="7" fillId="0" borderId="1" xfId="0" applyFont="1" applyFill="1" applyBorder="1" applyAlignment="1" applyProtection="1">
      <alignment horizontal="right" vertical="center"/>
      <protection hidden="1"/>
    </xf>
    <xf numFmtId="1" fontId="0" fillId="0" borderId="0" xfId="0" applyNumberFormat="1" applyAlignment="1" applyProtection="1">
      <alignment vertical="center"/>
      <protection hidden="1"/>
    </xf>
    <xf numFmtId="0" fontId="48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167" fontId="16" fillId="0" borderId="0" xfId="0" applyNumberFormat="1" applyFont="1" applyBorder="1" applyAlignment="1" applyProtection="1">
      <alignment horizontal="left" vertical="center"/>
      <protection hidden="1"/>
    </xf>
    <xf numFmtId="1" fontId="8" fillId="0" borderId="0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/>
      <protection hidden="1"/>
    </xf>
    <xf numFmtId="2" fontId="22" fillId="0" borderId="0" xfId="0" applyNumberFormat="1" applyFont="1" applyFill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vertical="center"/>
      <protection hidden="1"/>
    </xf>
    <xf numFmtId="164" fontId="5" fillId="0" borderId="0" xfId="0" applyNumberFormat="1" applyFont="1" applyBorder="1" applyAlignment="1" applyProtection="1">
      <alignment horizontal="center" vertical="center"/>
      <protection hidden="1"/>
    </xf>
    <xf numFmtId="0" fontId="5" fillId="0" borderId="63" xfId="0" applyFont="1" applyBorder="1" applyAlignment="1" applyProtection="1">
      <alignment horizontal="right" vertical="center"/>
      <protection hidden="1"/>
    </xf>
    <xf numFmtId="0" fontId="5" fillId="0" borderId="66" xfId="0" applyFont="1" applyBorder="1" applyAlignment="1" applyProtection="1">
      <alignment horizontal="right" vertical="center"/>
      <protection hidden="1"/>
    </xf>
    <xf numFmtId="0" fontId="5" fillId="0" borderId="60" xfId="0" applyFont="1" applyBorder="1" applyAlignment="1" applyProtection="1">
      <alignment horizontal="right" vertical="center"/>
      <protection hidden="1"/>
    </xf>
    <xf numFmtId="174" fontId="5" fillId="0" borderId="65" xfId="0" applyNumberFormat="1" applyFont="1" applyBorder="1" applyAlignment="1" applyProtection="1">
      <alignment vertical="center"/>
      <protection hidden="1"/>
    </xf>
    <xf numFmtId="0" fontId="5" fillId="0" borderId="66" xfId="0" applyFont="1" applyBorder="1" applyAlignment="1" applyProtection="1">
      <alignment vertical="center"/>
      <protection hidden="1"/>
    </xf>
    <xf numFmtId="178" fontId="5" fillId="0" borderId="59" xfId="0" applyNumberFormat="1" applyFont="1" applyBorder="1" applyAlignment="1" applyProtection="1">
      <alignment vertical="center"/>
      <protection hidden="1"/>
    </xf>
    <xf numFmtId="0" fontId="8" fillId="0" borderId="60" xfId="0" applyFont="1" applyBorder="1" applyAlignment="1" applyProtection="1">
      <alignment vertical="center"/>
      <protection hidden="1"/>
    </xf>
    <xf numFmtId="179" fontId="5" fillId="0" borderId="59" xfId="0" applyNumberFormat="1" applyFont="1" applyBorder="1" applyAlignment="1" applyProtection="1">
      <alignment vertical="center"/>
      <protection hidden="1"/>
    </xf>
    <xf numFmtId="2" fontId="5" fillId="0" borderId="59" xfId="0" applyNumberFormat="1" applyFont="1" applyBorder="1" applyAlignment="1" applyProtection="1">
      <alignment vertical="center"/>
      <protection hidden="1"/>
    </xf>
    <xf numFmtId="0" fontId="5" fillId="0" borderId="60" xfId="0" applyFont="1" applyBorder="1" applyAlignment="1" applyProtection="1">
      <alignment horizontal="center" vertical="center"/>
      <protection hidden="1"/>
    </xf>
    <xf numFmtId="175" fontId="5" fillId="0" borderId="59" xfId="0" applyNumberFormat="1" applyFont="1" applyBorder="1" applyAlignment="1" applyProtection="1">
      <alignment vertical="center"/>
      <protection hidden="1"/>
    </xf>
    <xf numFmtId="178" fontId="5" fillId="0" borderId="60" xfId="0" applyNumberFormat="1" applyFont="1" applyBorder="1" applyAlignment="1" applyProtection="1">
      <alignment horizontal="left" vertical="center"/>
      <protection hidden="1"/>
    </xf>
    <xf numFmtId="165" fontId="5" fillId="0" borderId="62" xfId="0" applyNumberFormat="1" applyFont="1" applyBorder="1" applyAlignment="1" applyProtection="1">
      <alignment vertical="center"/>
      <protection hidden="1"/>
    </xf>
    <xf numFmtId="0" fontId="5" fillId="0" borderId="63" xfId="0" applyFont="1" applyBorder="1" applyAlignment="1" applyProtection="1">
      <alignment horizontal="center" vertical="center"/>
      <protection hidden="1"/>
    </xf>
    <xf numFmtId="0" fontId="8" fillId="0" borderId="64" xfId="0" applyFont="1" applyBorder="1" applyAlignment="1" applyProtection="1">
      <alignment vertical="center"/>
      <protection hidden="1"/>
    </xf>
    <xf numFmtId="0" fontId="8" fillId="0" borderId="58" xfId="0" applyFont="1" applyBorder="1" applyAlignment="1" applyProtection="1">
      <alignment vertical="center"/>
      <protection hidden="1"/>
    </xf>
    <xf numFmtId="0" fontId="8" fillId="0" borderId="61" xfId="0" applyFont="1" applyBorder="1" applyAlignment="1" applyProtection="1">
      <alignment vertical="center"/>
      <protection hidden="1"/>
    </xf>
    <xf numFmtId="0" fontId="5" fillId="0" borderId="23" xfId="0" applyFont="1" applyBorder="1" applyAlignment="1" applyProtection="1">
      <alignment horizontal="center"/>
      <protection hidden="1"/>
    </xf>
    <xf numFmtId="0" fontId="5" fillId="0" borderId="54" xfId="0" applyFont="1" applyBorder="1" applyAlignment="1" applyProtection="1">
      <alignment horizontal="center"/>
      <protection hidden="1"/>
    </xf>
    <xf numFmtId="0" fontId="5" fillId="0" borderId="17" xfId="0" applyFont="1" applyBorder="1" applyAlignment="1" applyProtection="1">
      <alignment horizontal="center"/>
      <protection hidden="1"/>
    </xf>
    <xf numFmtId="179" fontId="5" fillId="0" borderId="18" xfId="0" applyNumberFormat="1" applyFont="1" applyBorder="1" applyAlignment="1" applyProtection="1">
      <alignment horizontal="center"/>
      <protection hidden="1"/>
    </xf>
    <xf numFmtId="0" fontId="5" fillId="0" borderId="24" xfId="0" applyFont="1" applyBorder="1" applyAlignment="1" applyProtection="1">
      <alignment horizontal="center"/>
      <protection hidden="1"/>
    </xf>
    <xf numFmtId="179" fontId="5" fillId="0" borderId="25" xfId="0" applyNumberFormat="1" applyFont="1" applyBorder="1" applyAlignment="1" applyProtection="1">
      <alignment horizontal="center"/>
      <protection hidden="1"/>
    </xf>
    <xf numFmtId="0" fontId="5" fillId="0" borderId="19" xfId="0" applyFont="1" applyBorder="1" applyAlignment="1" applyProtection="1">
      <alignment horizontal="center"/>
      <protection hidden="1"/>
    </xf>
    <xf numFmtId="179" fontId="5" fillId="0" borderId="20" xfId="0" applyNumberFormat="1" applyFont="1" applyBorder="1" applyAlignment="1" applyProtection="1">
      <alignment horizontal="center"/>
      <protection hidden="1"/>
    </xf>
    <xf numFmtId="0" fontId="8" fillId="0" borderId="0" xfId="0" applyNumberFormat="1" applyFont="1" applyProtection="1">
      <protection hidden="1"/>
    </xf>
    <xf numFmtId="182" fontId="0" fillId="0" borderId="34" xfId="0" applyNumberFormat="1" applyBorder="1" applyAlignment="1" applyProtection="1">
      <alignment horizontal="center"/>
      <protection hidden="1"/>
    </xf>
    <xf numFmtId="182" fontId="33" fillId="0" borderId="38" xfId="0" applyNumberFormat="1" applyFont="1" applyBorder="1" applyAlignment="1" applyProtection="1">
      <alignment horizontal="center"/>
      <protection hidden="1"/>
    </xf>
    <xf numFmtId="0" fontId="14" fillId="0" borderId="15" xfId="0" applyFont="1" applyBorder="1" applyAlignment="1" applyProtection="1">
      <alignment horizontal="center" vertical="center"/>
      <protection hidden="1"/>
    </xf>
    <xf numFmtId="2" fontId="7" fillId="4" borderId="99" xfId="0" applyNumberFormat="1" applyFont="1" applyFill="1" applyBorder="1" applyAlignment="1" applyProtection="1">
      <alignment horizontal="center"/>
      <protection hidden="1"/>
    </xf>
    <xf numFmtId="174" fontId="7" fillId="4" borderId="100" xfId="0" applyNumberFormat="1" applyFont="1" applyFill="1" applyBorder="1" applyAlignment="1" applyProtection="1">
      <alignment horizontal="center"/>
      <protection hidden="1"/>
    </xf>
    <xf numFmtId="174" fontId="7" fillId="4" borderId="101" xfId="0" applyNumberFormat="1" applyFont="1" applyFill="1" applyBorder="1" applyAlignment="1" applyProtection="1">
      <alignment horizontal="center"/>
      <protection hidden="1"/>
    </xf>
    <xf numFmtId="0" fontId="5" fillId="0" borderId="43" xfId="0" applyFont="1" applyBorder="1" applyAlignment="1" applyProtection="1">
      <alignment horizontal="center"/>
      <protection hidden="1"/>
    </xf>
    <xf numFmtId="0" fontId="5" fillId="0" borderId="42" xfId="0" applyFont="1" applyBorder="1" applyAlignment="1" applyProtection="1">
      <alignment horizontal="center"/>
      <protection hidden="1"/>
    </xf>
    <xf numFmtId="164" fontId="7" fillId="0" borderId="43" xfId="0" applyNumberFormat="1" applyFont="1" applyBorder="1" applyAlignment="1" applyProtection="1">
      <alignment horizontal="center" vertical="center"/>
      <protection hidden="1"/>
    </xf>
    <xf numFmtId="175" fontId="7" fillId="0" borderId="79" xfId="0" applyNumberFormat="1" applyFont="1" applyBorder="1" applyProtection="1">
      <protection hidden="1"/>
    </xf>
    <xf numFmtId="165" fontId="15" fillId="0" borderId="0" xfId="0" applyNumberFormat="1" applyFont="1" applyBorder="1" applyAlignment="1" applyProtection="1">
      <alignment horizontal="center" vertical="center"/>
      <protection hidden="1"/>
    </xf>
    <xf numFmtId="165" fontId="49" fillId="0" borderId="0" xfId="0" applyNumberFormat="1" applyFont="1" applyBorder="1" applyAlignment="1" applyProtection="1">
      <alignment horizontal="center" vertical="center"/>
      <protection hidden="1"/>
    </xf>
    <xf numFmtId="0" fontId="0" fillId="0" borderId="37" xfId="0" applyFill="1" applyBorder="1" applyAlignment="1" applyProtection="1">
      <alignment horizontal="right"/>
      <protection hidden="1"/>
    </xf>
    <xf numFmtId="180" fontId="7" fillId="0" borderId="12" xfId="0" applyNumberFormat="1" applyFont="1" applyFill="1" applyBorder="1" applyAlignment="1" applyProtection="1">
      <alignment horizontal="center" vertical="center"/>
      <protection hidden="1"/>
    </xf>
    <xf numFmtId="173" fontId="14" fillId="0" borderId="12" xfId="0" applyNumberFormat="1" applyFont="1" applyFill="1" applyBorder="1" applyAlignment="1" applyProtection="1">
      <alignment horizontal="center"/>
      <protection hidden="1"/>
    </xf>
    <xf numFmtId="164" fontId="15" fillId="0" borderId="38" xfId="0" applyNumberFormat="1" applyFont="1" applyBorder="1" applyAlignment="1" applyProtection="1">
      <alignment horizontal="center" vertical="center"/>
      <protection hidden="1"/>
    </xf>
    <xf numFmtId="180" fontId="7" fillId="0" borderId="11" xfId="0" applyNumberFormat="1" applyFont="1" applyFill="1" applyBorder="1" applyAlignment="1" applyProtection="1">
      <alignment horizontal="center"/>
      <protection hidden="1"/>
    </xf>
    <xf numFmtId="176" fontId="7" fillId="0" borderId="26" xfId="0" applyNumberFormat="1" applyFont="1" applyBorder="1" applyAlignment="1" applyProtection="1">
      <alignment horizontal="center" vertical="center"/>
      <protection hidden="1"/>
    </xf>
    <xf numFmtId="176" fontId="14" fillId="0" borderId="115" xfId="0" applyNumberFormat="1" applyFont="1" applyBorder="1" applyAlignment="1" applyProtection="1">
      <alignment horizontal="center" vertical="center"/>
      <protection hidden="1"/>
    </xf>
    <xf numFmtId="164" fontId="15" fillId="0" borderId="118" xfId="0" applyNumberFormat="1" applyFont="1" applyBorder="1" applyAlignment="1" applyProtection="1">
      <alignment horizontal="center" vertical="center"/>
      <protection hidden="1"/>
    </xf>
    <xf numFmtId="164" fontId="15" fillId="0" borderId="36" xfId="0" applyNumberFormat="1" applyFont="1" applyBorder="1" applyAlignment="1" applyProtection="1">
      <alignment horizontal="center" vertical="center"/>
      <protection hidden="1"/>
    </xf>
    <xf numFmtId="164" fontId="7" fillId="0" borderId="30" xfId="0" applyNumberFormat="1" applyFont="1" applyBorder="1" applyAlignment="1" applyProtection="1">
      <alignment horizontal="center" vertical="center"/>
      <protection hidden="1"/>
    </xf>
    <xf numFmtId="164" fontId="7" fillId="0" borderId="42" xfId="0" applyNumberFormat="1" applyFont="1" applyBorder="1" applyAlignment="1" applyProtection="1">
      <alignment horizontal="center" vertical="center"/>
      <protection hidden="1"/>
    </xf>
    <xf numFmtId="164" fontId="7" fillId="0" borderId="120" xfId="0" applyNumberFormat="1" applyFont="1" applyBorder="1" applyAlignment="1" applyProtection="1">
      <alignment horizontal="center" vertical="center"/>
      <protection hidden="1"/>
    </xf>
    <xf numFmtId="165" fontId="15" fillId="0" borderId="117" xfId="0" applyNumberFormat="1" applyFont="1" applyBorder="1" applyAlignment="1" applyProtection="1">
      <alignment horizontal="center" vertical="center"/>
      <protection hidden="1"/>
    </xf>
    <xf numFmtId="165" fontId="7" fillId="0" borderId="56" xfId="0" applyNumberFormat="1" applyFont="1" applyBorder="1" applyAlignment="1" applyProtection="1">
      <alignment horizontal="center" vertical="center"/>
      <protection hidden="1"/>
    </xf>
    <xf numFmtId="165" fontId="7" fillId="0" borderId="121" xfId="0" applyNumberFormat="1" applyFont="1" applyBorder="1" applyAlignment="1" applyProtection="1">
      <alignment horizontal="center" vertical="center"/>
      <protection hidden="1"/>
    </xf>
    <xf numFmtId="164" fontId="15" fillId="0" borderId="122" xfId="0" applyNumberFormat="1" applyFont="1" applyBorder="1" applyAlignment="1" applyProtection="1">
      <alignment horizontal="center" vertical="center"/>
      <protection hidden="1"/>
    </xf>
    <xf numFmtId="173" fontId="14" fillId="0" borderId="29" xfId="0" applyNumberFormat="1" applyFont="1" applyBorder="1" applyAlignment="1" applyProtection="1">
      <alignment horizontal="center" vertical="center"/>
      <protection hidden="1"/>
    </xf>
    <xf numFmtId="173" fontId="14" fillId="0" borderId="119" xfId="0" applyNumberFormat="1" applyFont="1" applyBorder="1" applyAlignment="1" applyProtection="1">
      <alignment horizontal="center" vertical="center"/>
      <protection hidden="1"/>
    </xf>
    <xf numFmtId="175" fontId="5" fillId="0" borderId="31" xfId="0" applyNumberFormat="1" applyFont="1" applyBorder="1" applyAlignment="1" applyProtection="1">
      <alignment vertical="center"/>
      <protection hidden="1"/>
    </xf>
    <xf numFmtId="164" fontId="15" fillId="0" borderId="116" xfId="0" applyNumberFormat="1" applyFont="1" applyBorder="1" applyAlignment="1" applyProtection="1">
      <alignment horizontal="center" vertical="center"/>
      <protection hidden="1"/>
    </xf>
    <xf numFmtId="164" fontId="15" fillId="0" borderId="35" xfId="0" applyNumberFormat="1" applyFont="1" applyBorder="1" applyAlignment="1" applyProtection="1">
      <alignment horizontal="center" vertical="center"/>
      <protection hidden="1"/>
    </xf>
    <xf numFmtId="164" fontId="15" fillId="0" borderId="43" xfId="0" applyNumberFormat="1" applyFont="1" applyBorder="1" applyAlignment="1" applyProtection="1">
      <alignment horizontal="center" vertical="center"/>
      <protection hidden="1"/>
    </xf>
    <xf numFmtId="0" fontId="5" fillId="0" borderId="44" xfId="0" applyFont="1" applyBorder="1" applyAlignment="1" applyProtection="1">
      <alignment horizontal="center"/>
      <protection hidden="1"/>
    </xf>
    <xf numFmtId="164" fontId="7" fillId="0" borderId="51" xfId="0" applyNumberFormat="1" applyFont="1" applyBorder="1" applyAlignment="1" applyProtection="1">
      <alignment horizontal="center" vertical="center"/>
      <protection hidden="1"/>
    </xf>
    <xf numFmtId="164" fontId="7" fillId="0" borderId="123" xfId="0" applyNumberFormat="1" applyFont="1" applyBorder="1" applyAlignment="1" applyProtection="1">
      <alignment horizontal="right" vertical="center"/>
      <protection hidden="1"/>
    </xf>
    <xf numFmtId="164" fontId="7" fillId="0" borderId="35" xfId="0" applyNumberFormat="1" applyFont="1" applyBorder="1" applyAlignment="1" applyProtection="1">
      <alignment horizontal="center" vertical="center"/>
      <protection hidden="1"/>
    </xf>
    <xf numFmtId="176" fontId="7" fillId="0" borderId="110" xfId="0" applyNumberFormat="1" applyFont="1" applyBorder="1" applyAlignment="1" applyProtection="1">
      <alignment horizontal="center"/>
      <protection hidden="1"/>
    </xf>
    <xf numFmtId="164" fontId="7" fillId="0" borderId="55" xfId="0" applyNumberFormat="1" applyFont="1" applyBorder="1" applyAlignment="1" applyProtection="1">
      <alignment horizontal="center"/>
      <protection hidden="1"/>
    </xf>
    <xf numFmtId="164" fontId="5" fillId="0" borderId="27" xfId="0" applyNumberFormat="1" applyFont="1" applyBorder="1" applyAlignment="1" applyProtection="1">
      <alignment horizontal="left" vertical="center"/>
      <protection hidden="1"/>
    </xf>
    <xf numFmtId="164" fontId="7" fillId="0" borderId="28" xfId="0" applyNumberFormat="1" applyFont="1" applyBorder="1" applyAlignment="1" applyProtection="1">
      <alignment horizontal="center" vertical="center"/>
      <protection hidden="1"/>
    </xf>
    <xf numFmtId="166" fontId="5" fillId="2" borderId="69" xfId="0" applyNumberFormat="1" applyFont="1" applyFill="1" applyBorder="1" applyAlignment="1" applyProtection="1">
      <alignment horizontal="center" vertical="center"/>
      <protection locked="0"/>
    </xf>
    <xf numFmtId="175" fontId="5" fillId="2" borderId="69" xfId="0" applyNumberFormat="1" applyFont="1" applyFill="1" applyBorder="1" applyAlignment="1" applyProtection="1">
      <alignment horizontal="center" vertical="center"/>
      <protection locked="0"/>
    </xf>
    <xf numFmtId="164" fontId="7" fillId="0" borderId="0" xfId="0" applyNumberFormat="1" applyFont="1" applyBorder="1" applyAlignment="1" applyProtection="1">
      <alignment horizontal="center"/>
      <protection hidden="1"/>
    </xf>
    <xf numFmtId="180" fontId="17" fillId="0" borderId="7" xfId="0" applyNumberFormat="1" applyFont="1" applyBorder="1" applyAlignment="1" applyProtection="1">
      <alignment horizontal="center"/>
      <protection hidden="1"/>
    </xf>
    <xf numFmtId="180" fontId="7" fillId="0" borderId="7" xfId="0" applyNumberFormat="1" applyFont="1" applyBorder="1" applyAlignment="1" applyProtection="1">
      <alignment horizontal="center" vertical="center"/>
      <protection hidden="1"/>
    </xf>
    <xf numFmtId="185" fontId="17" fillId="0" borderId="7" xfId="0" applyNumberFormat="1" applyFont="1" applyBorder="1" applyAlignment="1" applyProtection="1">
      <alignment horizontal="center"/>
      <protection hidden="1"/>
    </xf>
    <xf numFmtId="185" fontId="7" fillId="0" borderId="7" xfId="0" applyNumberFormat="1" applyFont="1" applyBorder="1" applyAlignment="1" applyProtection="1">
      <alignment horizontal="center" vertical="center"/>
      <protection hidden="1"/>
    </xf>
    <xf numFmtId="171" fontId="7" fillId="0" borderId="6" xfId="0" applyNumberFormat="1" applyFont="1" applyBorder="1" applyAlignment="1" applyProtection="1">
      <alignment horizontal="center"/>
      <protection hidden="1"/>
    </xf>
    <xf numFmtId="0" fontId="7" fillId="0" borderId="12" xfId="0" applyFont="1" applyBorder="1" applyAlignment="1" applyProtection="1">
      <alignment horizontal="center"/>
      <protection hidden="1"/>
    </xf>
    <xf numFmtId="170" fontId="7" fillId="0" borderId="7" xfId="0" applyNumberFormat="1" applyFont="1" applyBorder="1" applyAlignment="1" applyProtection="1">
      <alignment horizontal="center"/>
      <protection hidden="1"/>
    </xf>
    <xf numFmtId="171" fontId="7" fillId="0" borderId="7" xfId="0" applyNumberFormat="1" applyFont="1" applyBorder="1" applyAlignment="1" applyProtection="1">
      <alignment horizontal="center"/>
      <protection hidden="1"/>
    </xf>
    <xf numFmtId="173" fontId="7" fillId="0" borderId="7" xfId="0" applyNumberFormat="1" applyFont="1" applyBorder="1" applyAlignment="1" applyProtection="1">
      <alignment horizontal="center"/>
      <protection hidden="1"/>
    </xf>
    <xf numFmtId="164" fontId="5" fillId="0" borderId="31" xfId="0" applyNumberFormat="1" applyFont="1" applyBorder="1" applyAlignment="1" applyProtection="1">
      <alignment horizontal="right" vertical="center"/>
      <protection hidden="1"/>
    </xf>
    <xf numFmtId="174" fontId="30" fillId="0" borderId="56" xfId="0" applyNumberFormat="1" applyFont="1" applyBorder="1" applyAlignment="1" applyProtection="1">
      <alignment horizontal="right" vertical="center"/>
      <protection hidden="1"/>
    </xf>
    <xf numFmtId="174" fontId="7" fillId="0" borderId="124" xfId="0" applyNumberFormat="1" applyFont="1" applyBorder="1" applyAlignment="1" applyProtection="1">
      <alignment horizontal="right" vertical="center"/>
      <protection hidden="1"/>
    </xf>
    <xf numFmtId="174" fontId="30" fillId="0" borderId="124" xfId="0" applyNumberFormat="1" applyFont="1" applyBorder="1" applyAlignment="1" applyProtection="1">
      <alignment horizontal="right" vertical="center"/>
      <protection hidden="1"/>
    </xf>
    <xf numFmtId="174" fontId="7" fillId="0" borderId="28" xfId="0" applyNumberFormat="1" applyFont="1" applyBorder="1" applyAlignment="1" applyProtection="1">
      <alignment horizontal="right"/>
      <protection hidden="1"/>
    </xf>
    <xf numFmtId="174" fontId="7" fillId="0" borderId="35" xfId="0" applyNumberFormat="1" applyFont="1" applyBorder="1" applyProtection="1">
      <protection hidden="1"/>
    </xf>
    <xf numFmtId="164" fontId="5" fillId="0" borderId="57" xfId="0" applyNumberFormat="1" applyFont="1" applyBorder="1" applyAlignment="1" applyProtection="1">
      <alignment horizontal="right" vertical="center"/>
      <protection hidden="1"/>
    </xf>
    <xf numFmtId="164" fontId="30" fillId="0" borderId="8" xfId="0" applyNumberFormat="1" applyFont="1" applyBorder="1" applyAlignment="1" applyProtection="1">
      <alignment horizontal="right" vertical="center"/>
      <protection hidden="1"/>
    </xf>
    <xf numFmtId="164" fontId="7" fillId="0" borderId="11" xfId="0" applyNumberFormat="1" applyFont="1" applyBorder="1" applyAlignment="1" applyProtection="1">
      <alignment horizontal="center"/>
      <protection hidden="1"/>
    </xf>
    <xf numFmtId="0" fontId="8" fillId="0" borderId="29" xfId="0" applyFont="1" applyBorder="1" applyProtection="1">
      <protection hidden="1"/>
    </xf>
    <xf numFmtId="164" fontId="14" fillId="0" borderId="42" xfId="0" applyNumberFormat="1" applyFont="1" applyBorder="1" applyAlignment="1" applyProtection="1">
      <alignment horizontal="center"/>
      <protection hidden="1"/>
    </xf>
    <xf numFmtId="0" fontId="8" fillId="0" borderId="16" xfId="0" applyFont="1" applyBorder="1" applyProtection="1">
      <protection hidden="1"/>
    </xf>
    <xf numFmtId="164" fontId="14" fillId="0" borderId="44" xfId="0" applyNumberFormat="1" applyFont="1" applyBorder="1" applyAlignment="1" applyProtection="1">
      <alignment horizontal="center"/>
      <protection hidden="1"/>
    </xf>
    <xf numFmtId="176" fontId="7" fillId="0" borderId="26" xfId="0" applyNumberFormat="1" applyFont="1" applyBorder="1" applyAlignment="1" applyProtection="1">
      <alignment horizontal="center"/>
      <protection hidden="1"/>
    </xf>
    <xf numFmtId="0" fontId="7" fillId="0" borderId="10" xfId="0" applyFont="1" applyBorder="1" applyAlignment="1" applyProtection="1">
      <alignment horizontal="right" vertical="center"/>
      <protection hidden="1"/>
    </xf>
    <xf numFmtId="0" fontId="23" fillId="0" borderId="0" xfId="0" applyFont="1" applyBorder="1" applyAlignment="1" applyProtection="1">
      <alignment horizontal="right" vertical="center"/>
      <protection hidden="1"/>
    </xf>
    <xf numFmtId="168" fontId="23" fillId="0" borderId="0" xfId="0" applyNumberFormat="1" applyFont="1" applyBorder="1" applyAlignment="1" applyProtection="1">
      <alignment horizontal="left" vertical="center"/>
      <protection hidden="1"/>
    </xf>
    <xf numFmtId="164" fontId="5" fillId="0" borderId="45" xfId="0" applyNumberFormat="1" applyFont="1" applyBorder="1" applyAlignment="1" applyProtection="1">
      <alignment horizontal="left" vertical="center"/>
      <protection hidden="1"/>
    </xf>
    <xf numFmtId="2" fontId="7" fillId="0" borderId="52" xfId="0" applyNumberFormat="1" applyFont="1" applyBorder="1" applyAlignment="1" applyProtection="1">
      <alignment horizontal="center" vertical="center"/>
      <protection hidden="1"/>
    </xf>
    <xf numFmtId="2" fontId="7" fillId="0" borderId="50" xfId="0" applyNumberFormat="1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7" fillId="0" borderId="2" xfId="0" applyFont="1" applyBorder="1" applyAlignment="1" applyProtection="1">
      <alignment horizontal="right" vertical="center"/>
      <protection hidden="1"/>
    </xf>
    <xf numFmtId="0" fontId="52" fillId="0" borderId="127" xfId="0" applyFont="1" applyBorder="1" applyAlignment="1" applyProtection="1">
      <alignment horizontal="right" vertical="center"/>
      <protection hidden="1"/>
    </xf>
    <xf numFmtId="174" fontId="8" fillId="0" borderId="74" xfId="0" applyNumberFormat="1" applyFont="1" applyBorder="1" applyAlignment="1" applyProtection="1">
      <alignment horizontal="center" vertical="center"/>
      <protection hidden="1"/>
    </xf>
    <xf numFmtId="164" fontId="8" fillId="0" borderId="74" xfId="0" applyNumberFormat="1" applyFont="1" applyBorder="1" applyAlignment="1" applyProtection="1">
      <alignment horizontal="center" vertical="center"/>
      <protection hidden="1"/>
    </xf>
    <xf numFmtId="0" fontId="8" fillId="0" borderId="127" xfId="0" applyFont="1" applyBorder="1" applyAlignment="1" applyProtection="1">
      <alignment horizontal="right" vertical="center"/>
      <protection hidden="1"/>
    </xf>
    <xf numFmtId="2" fontId="8" fillId="0" borderId="127" xfId="0" applyNumberFormat="1" applyFont="1" applyBorder="1" applyAlignment="1" applyProtection="1">
      <alignment horizontal="right" vertical="center"/>
      <protection hidden="1"/>
    </xf>
    <xf numFmtId="174" fontId="8" fillId="0" borderId="127" xfId="0" applyNumberFormat="1" applyFont="1" applyBorder="1" applyAlignment="1" applyProtection="1">
      <alignment horizontal="right" vertical="center"/>
      <protection hidden="1"/>
    </xf>
    <xf numFmtId="0" fontId="51" fillId="0" borderId="127" xfId="0" applyFont="1" applyBorder="1" applyAlignment="1" applyProtection="1">
      <alignment horizontal="right" vertical="center"/>
      <protection hidden="1"/>
    </xf>
    <xf numFmtId="0" fontId="8" fillId="0" borderId="128" xfId="0" applyFont="1" applyBorder="1" applyAlignment="1" applyProtection="1">
      <alignment horizontal="right" vertical="center"/>
      <protection hidden="1"/>
    </xf>
    <xf numFmtId="0" fontId="8" fillId="0" borderId="129" xfId="0" applyFont="1" applyBorder="1" applyAlignment="1" applyProtection="1">
      <alignment horizontal="center"/>
      <protection hidden="1"/>
    </xf>
    <xf numFmtId="0" fontId="5" fillId="0" borderId="129" xfId="0" applyFont="1" applyBorder="1" applyAlignment="1" applyProtection="1">
      <alignment horizontal="left" vertical="center"/>
      <protection hidden="1"/>
    </xf>
    <xf numFmtId="178" fontId="0" fillId="0" borderId="130" xfId="0" applyNumberFormat="1" applyBorder="1" applyAlignment="1" applyProtection="1">
      <alignment horizontal="center"/>
      <protection hidden="1"/>
    </xf>
    <xf numFmtId="174" fontId="8" fillId="0" borderId="131" xfId="0" applyNumberFormat="1" applyFont="1" applyBorder="1" applyAlignment="1" applyProtection="1">
      <alignment horizontal="right" vertical="center"/>
      <protection hidden="1"/>
    </xf>
    <xf numFmtId="174" fontId="8" fillId="0" borderId="132" xfId="0" applyNumberFormat="1" applyFont="1" applyBorder="1" applyAlignment="1" applyProtection="1">
      <alignment horizontal="center" vertical="center"/>
      <protection hidden="1"/>
    </xf>
    <xf numFmtId="164" fontId="8" fillId="0" borderId="132" xfId="0" applyNumberFormat="1" applyFont="1" applyBorder="1" applyAlignment="1" applyProtection="1">
      <alignment horizontal="center" vertical="center"/>
      <protection hidden="1"/>
    </xf>
    <xf numFmtId="174" fontId="8" fillId="0" borderId="70" xfId="0" applyNumberFormat="1" applyFont="1" applyBorder="1" applyAlignment="1" applyProtection="1">
      <alignment horizontal="center" vertical="center"/>
      <protection hidden="1"/>
    </xf>
    <xf numFmtId="164" fontId="8" fillId="0" borderId="70" xfId="0" applyNumberFormat="1" applyFont="1" applyBorder="1" applyAlignment="1" applyProtection="1">
      <alignment horizontal="center" vertical="center"/>
      <protection hidden="1"/>
    </xf>
    <xf numFmtId="0" fontId="51" fillId="0" borderId="125" xfId="0" applyFont="1" applyBorder="1" applyAlignment="1" applyProtection="1">
      <alignment horizontal="right" vertical="center"/>
      <protection hidden="1"/>
    </xf>
    <xf numFmtId="174" fontId="8" fillId="0" borderId="126" xfId="0" applyNumberFormat="1" applyFont="1" applyBorder="1" applyAlignment="1" applyProtection="1">
      <alignment horizontal="center" vertical="center"/>
      <protection hidden="1"/>
    </xf>
    <xf numFmtId="164" fontId="8" fillId="0" borderId="126" xfId="0" applyNumberFormat="1" applyFont="1" applyBorder="1" applyAlignment="1" applyProtection="1">
      <alignment horizontal="center" vertical="center"/>
      <protection hidden="1"/>
    </xf>
    <xf numFmtId="0" fontId="27" fillId="0" borderId="128" xfId="0" applyFont="1" applyBorder="1" applyAlignment="1" applyProtection="1">
      <alignment horizontal="right" vertical="center"/>
      <protection hidden="1"/>
    </xf>
    <xf numFmtId="0" fontId="27" fillId="0" borderId="131" xfId="0" applyFont="1" applyBorder="1" applyAlignment="1" applyProtection="1">
      <alignment horizontal="right" vertical="center"/>
      <protection hidden="1"/>
    </xf>
    <xf numFmtId="0" fontId="50" fillId="0" borderId="133" xfId="0" applyFont="1" applyBorder="1" applyAlignment="1" applyProtection="1">
      <alignment horizontal="center" vertical="center"/>
      <protection hidden="1"/>
    </xf>
    <xf numFmtId="0" fontId="8" fillId="0" borderId="70" xfId="0" applyFont="1" applyBorder="1" applyAlignment="1" applyProtection="1">
      <alignment horizontal="center" vertical="center"/>
      <protection hidden="1"/>
    </xf>
    <xf numFmtId="0" fontId="8" fillId="0" borderId="134" xfId="0" applyFont="1" applyBorder="1" applyAlignment="1" applyProtection="1">
      <alignment horizontal="right" vertical="center"/>
      <protection hidden="1"/>
    </xf>
    <xf numFmtId="0" fontId="5" fillId="0" borderId="70" xfId="0" applyFont="1" applyBorder="1" applyAlignment="1" applyProtection="1">
      <alignment horizontal="left" vertical="center"/>
      <protection hidden="1"/>
    </xf>
    <xf numFmtId="178" fontId="0" fillId="0" borderId="135" xfId="0" applyNumberFormat="1" applyBorder="1" applyAlignment="1" applyProtection="1">
      <alignment horizontal="center" vertical="center"/>
      <protection hidden="1"/>
    </xf>
    <xf numFmtId="0" fontId="27" fillId="0" borderId="130" xfId="0" applyNumberFormat="1" applyFont="1" applyBorder="1" applyAlignment="1" applyProtection="1">
      <alignment horizontal="center" vertical="center"/>
      <protection hidden="1"/>
    </xf>
    <xf numFmtId="0" fontId="8" fillId="0" borderId="136" xfId="0" applyFont="1" applyBorder="1" applyAlignment="1" applyProtection="1">
      <alignment horizontal="right"/>
      <protection hidden="1"/>
    </xf>
    <xf numFmtId="0" fontId="8" fillId="0" borderId="137" xfId="0" applyFont="1" applyBorder="1" applyAlignment="1" applyProtection="1">
      <alignment horizontal="center" vertical="center"/>
      <protection hidden="1"/>
    </xf>
    <xf numFmtId="0" fontId="0" fillId="0" borderId="140" xfId="0" applyBorder="1" applyAlignment="1" applyProtection="1">
      <alignment horizontal="center" vertical="center"/>
      <protection hidden="1"/>
    </xf>
    <xf numFmtId="0" fontId="52" fillId="0" borderId="134" xfId="0" applyFont="1" applyBorder="1" applyAlignment="1" applyProtection="1">
      <alignment horizontal="right" vertical="center"/>
      <protection hidden="1"/>
    </xf>
    <xf numFmtId="0" fontId="7" fillId="0" borderId="137" xfId="0" applyFont="1" applyBorder="1" applyAlignment="1" applyProtection="1">
      <alignment horizontal="right" vertical="center"/>
      <protection hidden="1"/>
    </xf>
    <xf numFmtId="0" fontId="8" fillId="0" borderId="138" xfId="0" applyFont="1" applyBorder="1" applyAlignment="1" applyProtection="1">
      <alignment horizontal="center" vertical="center"/>
      <protection hidden="1"/>
    </xf>
    <xf numFmtId="170" fontId="27" fillId="0" borderId="129" xfId="0" applyNumberFormat="1" applyFont="1" applyBorder="1" applyAlignment="1" applyProtection="1">
      <alignment horizontal="center" vertical="center"/>
      <protection hidden="1"/>
    </xf>
    <xf numFmtId="170" fontId="27" fillId="0" borderId="132" xfId="0" applyNumberFormat="1" applyFont="1" applyBorder="1" applyAlignment="1" applyProtection="1">
      <alignment horizontal="center" vertical="center"/>
      <protection hidden="1"/>
    </xf>
    <xf numFmtId="173" fontId="27" fillId="0" borderId="132" xfId="0" applyNumberFormat="1" applyFont="1" applyBorder="1" applyAlignment="1" applyProtection="1">
      <alignment horizontal="center" vertical="center"/>
      <protection hidden="1"/>
    </xf>
    <xf numFmtId="173" fontId="27" fillId="0" borderId="129" xfId="0" applyNumberFormat="1" applyFont="1" applyBorder="1" applyAlignment="1" applyProtection="1">
      <alignment horizontal="center" vertical="center"/>
      <protection hidden="1"/>
    </xf>
    <xf numFmtId="165" fontId="8" fillId="0" borderId="137" xfId="0" applyNumberFormat="1" applyFont="1" applyBorder="1" applyAlignment="1" applyProtection="1">
      <alignment horizontal="center" vertical="center"/>
      <protection hidden="1"/>
    </xf>
    <xf numFmtId="0" fontId="8" fillId="0" borderId="139" xfId="0" applyFont="1" applyBorder="1" applyProtection="1">
      <protection hidden="1"/>
    </xf>
    <xf numFmtId="0" fontId="8" fillId="0" borderId="140" xfId="0" applyFont="1" applyBorder="1" applyProtection="1">
      <protection hidden="1"/>
    </xf>
    <xf numFmtId="0" fontId="5" fillId="0" borderId="136" xfId="0" applyFont="1" applyBorder="1" applyAlignment="1" applyProtection="1">
      <alignment horizontal="right" vertical="center"/>
      <protection hidden="1"/>
    </xf>
    <xf numFmtId="0" fontId="5" fillId="0" borderId="137" xfId="0" applyFont="1" applyBorder="1" applyAlignment="1" applyProtection="1">
      <alignment vertical="center"/>
      <protection hidden="1"/>
    </xf>
    <xf numFmtId="0" fontId="8" fillId="0" borderId="139" xfId="0" applyFont="1" applyBorder="1" applyAlignment="1" applyProtection="1">
      <alignment horizontal="right" vertical="center"/>
      <protection hidden="1"/>
    </xf>
    <xf numFmtId="0" fontId="8" fillId="0" borderId="141" xfId="0" applyFont="1" applyBorder="1" applyAlignment="1" applyProtection="1">
      <alignment horizontal="center" vertical="center"/>
      <protection hidden="1"/>
    </xf>
    <xf numFmtId="2" fontId="0" fillId="0" borderId="142" xfId="0" applyNumberFormat="1" applyBorder="1" applyAlignment="1" applyProtection="1">
      <alignment horizontal="center" vertical="center"/>
      <protection hidden="1"/>
    </xf>
    <xf numFmtId="184" fontId="0" fillId="0" borderId="142" xfId="0" applyNumberFormat="1" applyBorder="1" applyAlignment="1" applyProtection="1">
      <alignment horizontal="center" vertical="center"/>
      <protection hidden="1"/>
    </xf>
    <xf numFmtId="174" fontId="8" fillId="0" borderId="142" xfId="0" applyNumberFormat="1" applyFont="1" applyBorder="1" applyAlignment="1" applyProtection="1">
      <alignment horizontal="center" vertical="center"/>
      <protection hidden="1"/>
    </xf>
    <xf numFmtId="178" fontId="0" fillId="0" borderId="142" xfId="0" applyNumberFormat="1" applyBorder="1" applyAlignment="1" applyProtection="1">
      <alignment horizontal="center" vertical="center"/>
      <protection hidden="1"/>
    </xf>
    <xf numFmtId="164" fontId="0" fillId="0" borderId="141" xfId="0" applyNumberFormat="1" applyBorder="1" applyAlignment="1" applyProtection="1">
      <alignment horizontal="center" vertical="center"/>
      <protection hidden="1"/>
    </xf>
    <xf numFmtId="0" fontId="5" fillId="0" borderId="135" xfId="0" applyFont="1" applyBorder="1" applyAlignment="1" applyProtection="1">
      <alignment horizontal="center" vertical="center"/>
      <protection hidden="1"/>
    </xf>
    <xf numFmtId="0" fontId="8" fillId="0" borderId="141" xfId="0" applyNumberFormat="1" applyFont="1" applyBorder="1" applyAlignment="1" applyProtection="1">
      <alignment horizontal="center" vertical="center"/>
      <protection hidden="1"/>
    </xf>
    <xf numFmtId="2" fontId="8" fillId="0" borderId="135" xfId="0" applyNumberFormat="1" applyFont="1" applyBorder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/>
      <protection hidden="1"/>
    </xf>
    <xf numFmtId="168" fontId="7" fillId="0" borderId="1" xfId="0" applyNumberFormat="1" applyFont="1" applyBorder="1" applyAlignment="1" applyProtection="1">
      <alignment horizontal="center"/>
      <protection hidden="1"/>
    </xf>
    <xf numFmtId="168" fontId="7" fillId="0" borderId="3" xfId="0" applyNumberFormat="1" applyFont="1" applyBorder="1" applyAlignment="1" applyProtection="1">
      <alignment horizontal="center"/>
      <protection hidden="1"/>
    </xf>
    <xf numFmtId="168" fontId="23" fillId="0" borderId="5" xfId="0" applyNumberFormat="1" applyFont="1" applyBorder="1" applyAlignment="1" applyProtection="1">
      <alignment horizontal="center" vertical="center"/>
      <protection hidden="1"/>
    </xf>
    <xf numFmtId="0" fontId="7" fillId="0" borderId="29" xfId="0" applyFont="1" applyBorder="1" applyAlignment="1" applyProtection="1">
      <alignment horizontal="right"/>
      <protection hidden="1"/>
    </xf>
    <xf numFmtId="0" fontId="7" fillId="0" borderId="28" xfId="0" applyFont="1" applyBorder="1" applyAlignment="1" applyProtection="1">
      <alignment horizontal="right"/>
      <protection hidden="1"/>
    </xf>
    <xf numFmtId="0" fontId="7" fillId="0" borderId="56" xfId="0" applyFont="1" applyBorder="1" applyAlignment="1" applyProtection="1">
      <alignment horizontal="right"/>
      <protection hidden="1"/>
    </xf>
    <xf numFmtId="168" fontId="7" fillId="0" borderId="2" xfId="0" applyNumberFormat="1" applyFont="1" applyBorder="1" applyAlignment="1" applyProtection="1">
      <alignment horizontal="center"/>
      <protection hidden="1"/>
    </xf>
    <xf numFmtId="168" fontId="7" fillId="2" borderId="1" xfId="0" applyNumberFormat="1" applyFont="1" applyFill="1" applyBorder="1" applyAlignment="1" applyProtection="1">
      <alignment horizontal="center" vertical="center"/>
      <protection locked="0"/>
    </xf>
    <xf numFmtId="168" fontId="7" fillId="2" borderId="3" xfId="0" applyNumberFormat="1" applyFont="1" applyFill="1" applyBorder="1" applyAlignment="1" applyProtection="1">
      <alignment horizontal="center" vertical="center"/>
      <protection locked="0"/>
    </xf>
    <xf numFmtId="169" fontId="7" fillId="0" borderId="1" xfId="0" applyNumberFormat="1" applyFont="1" applyFill="1" applyBorder="1" applyAlignment="1" applyProtection="1">
      <alignment horizontal="center" vertical="center"/>
      <protection hidden="1"/>
    </xf>
    <xf numFmtId="169" fontId="7" fillId="0" borderId="3" xfId="0" applyNumberFormat="1" applyFont="1" applyFill="1" applyBorder="1" applyAlignment="1" applyProtection="1">
      <alignment horizontal="center" vertical="center"/>
      <protection hidden="1"/>
    </xf>
    <xf numFmtId="169" fontId="7" fillId="2" borderId="1" xfId="0" applyNumberFormat="1" applyFont="1" applyFill="1" applyBorder="1" applyAlignment="1" applyProtection="1">
      <alignment horizontal="center" vertical="center"/>
      <protection locked="0"/>
    </xf>
    <xf numFmtId="169" fontId="7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hidden="1"/>
    </xf>
    <xf numFmtId="0" fontId="7" fillId="0" borderId="16" xfId="0" applyFont="1" applyBorder="1" applyAlignment="1" applyProtection="1">
      <alignment horizontal="right"/>
      <protection hidden="1"/>
    </xf>
    <xf numFmtId="0" fontId="7" fillId="0" borderId="31" xfId="0" applyFont="1" applyBorder="1" applyAlignment="1" applyProtection="1">
      <alignment horizontal="right"/>
      <protection hidden="1"/>
    </xf>
    <xf numFmtId="0" fontId="7" fillId="0" borderId="57" xfId="0" applyFont="1" applyBorder="1" applyAlignment="1" applyProtection="1">
      <alignment horizontal="right"/>
      <protection hidden="1"/>
    </xf>
    <xf numFmtId="0" fontId="5" fillId="0" borderId="68" xfId="0" applyFont="1" applyBorder="1" applyAlignment="1" applyProtection="1">
      <alignment horizontal="center" vertical="center"/>
      <protection hidden="1"/>
    </xf>
    <xf numFmtId="0" fontId="5" fillId="0" borderId="53" xfId="0" applyFont="1" applyBorder="1" applyAlignment="1" applyProtection="1">
      <alignment horizontal="center" vertical="center"/>
      <protection hidden="1"/>
    </xf>
    <xf numFmtId="0" fontId="47" fillId="0" borderId="2" xfId="0" applyFont="1" applyBorder="1" applyAlignment="1" applyProtection="1">
      <alignment horizontal="right" vertical="center"/>
      <protection hidden="1"/>
    </xf>
    <xf numFmtId="0" fontId="47" fillId="0" borderId="3" xfId="0" applyFont="1" applyBorder="1" applyAlignment="1" applyProtection="1">
      <alignment horizontal="right" vertical="center"/>
      <protection hidden="1"/>
    </xf>
    <xf numFmtId="0" fontId="5" fillId="0" borderId="82" xfId="0" applyFont="1" applyBorder="1" applyAlignment="1" applyProtection="1">
      <alignment horizontal="right" vertical="center"/>
      <protection hidden="1"/>
    </xf>
    <xf numFmtId="0" fontId="5" fillId="0" borderId="83" xfId="0" applyFont="1" applyBorder="1" applyAlignment="1" applyProtection="1">
      <alignment horizontal="right" vertical="center"/>
      <protection hidden="1"/>
    </xf>
    <xf numFmtId="0" fontId="5" fillId="0" borderId="85" xfId="0" applyFont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5" fillId="0" borderId="87" xfId="0" applyFont="1" applyBorder="1" applyAlignment="1" applyProtection="1">
      <alignment horizontal="right" vertical="center"/>
      <protection hidden="1"/>
    </xf>
    <xf numFmtId="0" fontId="5" fillId="0" borderId="88" xfId="0" applyFont="1" applyBorder="1" applyAlignment="1" applyProtection="1">
      <alignment horizontal="right" vertical="center"/>
      <protection hidden="1"/>
    </xf>
    <xf numFmtId="0" fontId="7" fillId="0" borderId="143" xfId="0" applyFont="1" applyBorder="1" applyAlignment="1" applyProtection="1">
      <alignment horizontal="center"/>
      <protection hidden="1"/>
    </xf>
    <xf numFmtId="165" fontId="7" fillId="0" borderId="144" xfId="0" applyNumberFormat="1" applyFont="1" applyBorder="1" applyAlignment="1" applyProtection="1">
      <alignment horizontal="center"/>
      <protection hidden="1"/>
    </xf>
    <xf numFmtId="165" fontId="7" fillId="0" borderId="145" xfId="0" applyNumberFormat="1" applyFont="1" applyBorder="1" applyAlignment="1" applyProtection="1">
      <alignment horizontal="center"/>
      <protection hidden="1"/>
    </xf>
    <xf numFmtId="0" fontId="0" fillId="0" borderId="146" xfId="0" applyBorder="1" applyAlignment="1" applyProtection="1">
      <alignment horizontal="right"/>
      <protection hidden="1"/>
    </xf>
    <xf numFmtId="165" fontId="7" fillId="0" borderId="147" xfId="0" applyNumberFormat="1" applyFont="1" applyBorder="1" applyAlignment="1" applyProtection="1">
      <alignment horizontal="right"/>
      <protection hidden="1"/>
    </xf>
    <xf numFmtId="165" fontId="7" fillId="0" borderId="148" xfId="0" applyNumberFormat="1" applyFont="1" applyBorder="1" applyAlignment="1" applyProtection="1">
      <alignment horizontal="right"/>
      <protection hidden="1"/>
    </xf>
    <xf numFmtId="0" fontId="0" fillId="0" borderId="149" xfId="0" applyBorder="1" applyAlignment="1">
      <alignment horizontal="right"/>
    </xf>
    <xf numFmtId="164" fontId="7" fillId="0" borderId="150" xfId="0" applyNumberFormat="1" applyFont="1" applyBorder="1" applyAlignment="1">
      <alignment horizontal="right"/>
    </xf>
    <xf numFmtId="164" fontId="7" fillId="0" borderId="151" xfId="0" applyNumberFormat="1" applyFont="1" applyBorder="1" applyAlignment="1">
      <alignment horizontal="right"/>
    </xf>
    <xf numFmtId="0" fontId="11" fillId="0" borderId="149" xfId="0" applyFont="1" applyBorder="1" applyAlignment="1">
      <alignment horizontal="right"/>
    </xf>
    <xf numFmtId="0" fontId="11" fillId="0" borderId="152" xfId="0" applyFont="1" applyBorder="1" applyAlignment="1">
      <alignment horizontal="right"/>
    </xf>
    <xf numFmtId="164" fontId="7" fillId="0" borderId="153" xfId="0" applyNumberFormat="1" applyFont="1" applyBorder="1" applyAlignment="1">
      <alignment horizontal="right"/>
    </xf>
    <xf numFmtId="164" fontId="7" fillId="0" borderId="154" xfId="0" applyNumberFormat="1" applyFont="1" applyBorder="1" applyAlignment="1">
      <alignment horizontal="right"/>
    </xf>
    <xf numFmtId="0" fontId="0" fillId="0" borderId="155" xfId="0" applyBorder="1" applyAlignment="1">
      <alignment horizontal="right"/>
    </xf>
    <xf numFmtId="164" fontId="7" fillId="0" borderId="156" xfId="0" applyNumberFormat="1" applyFont="1" applyBorder="1" applyAlignment="1">
      <alignment horizontal="right"/>
    </xf>
    <xf numFmtId="164" fontId="7" fillId="0" borderId="157" xfId="0" applyNumberFormat="1" applyFont="1" applyBorder="1" applyAlignment="1">
      <alignment horizontal="right"/>
    </xf>
    <xf numFmtId="0" fontId="0" fillId="0" borderId="158" xfId="0" applyBorder="1" applyAlignment="1">
      <alignment horizontal="right"/>
    </xf>
    <xf numFmtId="164" fontId="7" fillId="0" borderId="159" xfId="0" applyNumberFormat="1" applyFont="1" applyBorder="1" applyAlignment="1">
      <alignment horizontal="right"/>
    </xf>
    <xf numFmtId="164" fontId="7" fillId="0" borderId="160" xfId="0" applyNumberFormat="1" applyFont="1" applyBorder="1" applyAlignment="1">
      <alignment horizontal="right"/>
    </xf>
    <xf numFmtId="0" fontId="0" fillId="0" borderId="146" xfId="0" applyBorder="1" applyAlignment="1">
      <alignment horizontal="right"/>
    </xf>
    <xf numFmtId="164" fontId="17" fillId="0" borderId="148" xfId="0" applyNumberFormat="1" applyFont="1" applyBorder="1" applyAlignment="1" applyProtection="1">
      <alignment horizontal="right"/>
      <protection hidden="1"/>
    </xf>
    <xf numFmtId="0" fontId="11" fillId="0" borderId="155" xfId="0" applyFont="1" applyBorder="1" applyAlignment="1">
      <alignment horizontal="right"/>
    </xf>
    <xf numFmtId="164" fontId="17" fillId="0" borderId="156" xfId="0" applyNumberFormat="1" applyFont="1" applyBorder="1" applyAlignment="1">
      <alignment horizontal="right"/>
    </xf>
    <xf numFmtId="164" fontId="17" fillId="0" borderId="157" xfId="0" applyNumberFormat="1" applyFont="1" applyBorder="1" applyAlignment="1">
      <alignment horizontal="right"/>
    </xf>
    <xf numFmtId="180" fontId="7" fillId="0" borderId="148" xfId="0" applyNumberFormat="1" applyFont="1" applyBorder="1" applyAlignment="1">
      <alignment horizontal="right" vertical="center"/>
    </xf>
    <xf numFmtId="186" fontId="7" fillId="0" borderId="156" xfId="0" applyNumberFormat="1" applyFont="1" applyBorder="1" applyAlignment="1">
      <alignment horizontal="right" vertical="center"/>
    </xf>
    <xf numFmtId="186" fontId="7" fillId="0" borderId="157" xfId="0" applyNumberFormat="1" applyFont="1" applyBorder="1" applyAlignment="1">
      <alignment horizontal="right" vertical="center"/>
    </xf>
    <xf numFmtId="0" fontId="16" fillId="0" borderId="0" xfId="0" applyFont="1" applyAlignment="1" applyProtection="1">
      <alignment vertical="top"/>
      <protection hidden="1"/>
    </xf>
    <xf numFmtId="0" fontId="7" fillId="0" borderId="161" xfId="0" applyFont="1" applyBorder="1" applyAlignment="1" applyProtection="1">
      <alignment horizontal="center"/>
      <protection hidden="1"/>
    </xf>
    <xf numFmtId="0" fontId="7" fillId="0" borderId="162" xfId="0" applyFont="1" applyBorder="1" applyAlignment="1" applyProtection="1">
      <alignment horizontal="center"/>
      <protection hidden="1"/>
    </xf>
    <xf numFmtId="0" fontId="7" fillId="0" borderId="163" xfId="0" applyFont="1" applyBorder="1" applyAlignment="1">
      <alignment horizontal="right" vertical="center"/>
    </xf>
    <xf numFmtId="187" fontId="7" fillId="0" borderId="164" xfId="0" applyNumberFormat="1" applyFont="1" applyBorder="1"/>
    <xf numFmtId="0" fontId="7" fillId="0" borderId="165" xfId="0" applyFont="1" applyBorder="1" applyAlignment="1">
      <alignment horizontal="right" vertical="center"/>
    </xf>
    <xf numFmtId="187" fontId="7" fillId="0" borderId="166" xfId="0" applyNumberFormat="1" applyFont="1" applyBorder="1"/>
    <xf numFmtId="0" fontId="7" fillId="0" borderId="165" xfId="0" applyFont="1" applyBorder="1" applyAlignment="1" applyProtection="1">
      <alignment horizontal="right" vertical="center"/>
      <protection hidden="1"/>
    </xf>
    <xf numFmtId="0" fontId="7" fillId="0" borderId="166" xfId="0" applyFont="1" applyBorder="1" applyAlignment="1" applyProtection="1">
      <alignment vertical="center"/>
      <protection hidden="1"/>
    </xf>
    <xf numFmtId="188" fontId="7" fillId="0" borderId="166" xfId="0" applyNumberFormat="1" applyFont="1" applyBorder="1"/>
    <xf numFmtId="0" fontId="7" fillId="0" borderId="165" xfId="0" applyFont="1" applyBorder="1" applyAlignment="1" applyProtection="1">
      <alignment horizontal="center"/>
      <protection hidden="1"/>
    </xf>
    <xf numFmtId="0" fontId="7" fillId="0" borderId="166" xfId="0" applyFont="1" applyBorder="1" applyProtection="1">
      <protection hidden="1"/>
    </xf>
    <xf numFmtId="0" fontId="7" fillId="0" borderId="167" xfId="0" applyFont="1" applyBorder="1" applyAlignment="1">
      <alignment horizontal="right" vertical="center"/>
    </xf>
    <xf numFmtId="189" fontId="17" fillId="0" borderId="168" xfId="0" applyNumberFormat="1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/>
      <protection hidden="1"/>
    </xf>
    <xf numFmtId="0" fontId="5" fillId="0" borderId="22" xfId="0" applyFont="1" applyBorder="1" applyAlignment="1" applyProtection="1">
      <alignment horizontal="center" vertical="center"/>
      <protection hidden="1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FDFAD6"/>
      <color rgb="FFFAFDE0"/>
      <color rgb="FFC05C16"/>
      <color rgb="FFFFA1A3"/>
      <color rgb="FFFF9000"/>
      <color rgb="FFFF65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Navigation!$AQ$17:$AQ$59</c:f>
              <c:numCache>
                <c:formatCode>0.00\°</c:formatCode>
                <c:ptCount val="43"/>
                <c:pt idx="0">
                  <c:v>28.166371603263869</c:v>
                </c:pt>
                <c:pt idx="1">
                  <c:v>28.14137160326387</c:v>
                </c:pt>
                <c:pt idx="2">
                  <c:v>28.116371603263872</c:v>
                </c:pt>
                <c:pt idx="3">
                  <c:v>28.091371603263873</c:v>
                </c:pt>
                <c:pt idx="4">
                  <c:v>28.066371603263875</c:v>
                </c:pt>
                <c:pt idx="5">
                  <c:v>28.041371603263876</c:v>
                </c:pt>
                <c:pt idx="6">
                  <c:v>28.016371603263877</c:v>
                </c:pt>
                <c:pt idx="7">
                  <c:v>27.991371603263879</c:v>
                </c:pt>
                <c:pt idx="8">
                  <c:v>27.96637160326388</c:v>
                </c:pt>
                <c:pt idx="9">
                  <c:v>27.941371603263882</c:v>
                </c:pt>
                <c:pt idx="10">
                  <c:v>27.916371603263883</c:v>
                </c:pt>
                <c:pt idx="11">
                  <c:v>27.891371603263885</c:v>
                </c:pt>
                <c:pt idx="12">
                  <c:v>27.866371603263886</c:v>
                </c:pt>
                <c:pt idx="13">
                  <c:v>27.841371603263887</c:v>
                </c:pt>
                <c:pt idx="14">
                  <c:v>27.816371603263889</c:v>
                </c:pt>
                <c:pt idx="15">
                  <c:v>27.79137160326389</c:v>
                </c:pt>
                <c:pt idx="16">
                  <c:v>27.766371603263892</c:v>
                </c:pt>
                <c:pt idx="17">
                  <c:v>27.741371603263893</c:v>
                </c:pt>
                <c:pt idx="18">
                  <c:v>27.716371603263894</c:v>
                </c:pt>
                <c:pt idx="19">
                  <c:v>27.691371603263896</c:v>
                </c:pt>
                <c:pt idx="20">
                  <c:v>27.666371603263897</c:v>
                </c:pt>
                <c:pt idx="21">
                  <c:v>27.641371603263899</c:v>
                </c:pt>
                <c:pt idx="22">
                  <c:v>27.6163716032639</c:v>
                </c:pt>
                <c:pt idx="23">
                  <c:v>27.591371603263902</c:v>
                </c:pt>
                <c:pt idx="24">
                  <c:v>27.566371603263903</c:v>
                </c:pt>
                <c:pt idx="25">
                  <c:v>27.541371603263904</c:v>
                </c:pt>
                <c:pt idx="26">
                  <c:v>27.516371603263906</c:v>
                </c:pt>
                <c:pt idx="27">
                  <c:v>27.491371603263907</c:v>
                </c:pt>
                <c:pt idx="28">
                  <c:v>27.466371603263909</c:v>
                </c:pt>
                <c:pt idx="29">
                  <c:v>27.44137160326391</c:v>
                </c:pt>
                <c:pt idx="30">
                  <c:v>27.416371603263912</c:v>
                </c:pt>
                <c:pt idx="31">
                  <c:v>27.391371603263913</c:v>
                </c:pt>
                <c:pt idx="32">
                  <c:v>27.366371603263914</c:v>
                </c:pt>
                <c:pt idx="33">
                  <c:v>27.341371603263916</c:v>
                </c:pt>
                <c:pt idx="34">
                  <c:v>27.316371603263917</c:v>
                </c:pt>
                <c:pt idx="35">
                  <c:v>27.291371603263919</c:v>
                </c:pt>
                <c:pt idx="36">
                  <c:v>27.26637160326392</c:v>
                </c:pt>
                <c:pt idx="37">
                  <c:v>27.241371603263921</c:v>
                </c:pt>
                <c:pt idx="38">
                  <c:v>27.216371603263923</c:v>
                </c:pt>
                <c:pt idx="39">
                  <c:v>27.191371603263924</c:v>
                </c:pt>
                <c:pt idx="40">
                  <c:v>27.166371603263926</c:v>
                </c:pt>
                <c:pt idx="41">
                  <c:v>27.807499185493562</c:v>
                </c:pt>
                <c:pt idx="42">
                  <c:v>27.525244021034233</c:v>
                </c:pt>
              </c:numCache>
            </c:numRef>
          </c:xVal>
          <c:yVal>
            <c:numRef>
              <c:f>Navigation!$AV$17:$AV$59</c:f>
              <c:numCache>
                <c:formatCode>0.00\°</c:formatCode>
                <c:ptCount val="43"/>
                <c:pt idx="0">
                  <c:v>13.773551539624464</c:v>
                </c:pt>
                <c:pt idx="1">
                  <c:v>13.72987397807276</c:v>
                </c:pt>
                <c:pt idx="2">
                  <c:v>13.686395172132109</c:v>
                </c:pt>
                <c:pt idx="3">
                  <c:v>13.643113236549652</c:v>
                </c:pt>
                <c:pt idx="4">
                  <c:v>13.600026317441973</c:v>
                </c:pt>
                <c:pt idx="5">
                  <c:v>13.55713259156164</c:v>
                </c:pt>
                <c:pt idx="6">
                  <c:v>13.5144302655861</c:v>
                </c:pt>
                <c:pt idx="7">
                  <c:v>13.471917575427824</c:v>
                </c:pt>
                <c:pt idx="8">
                  <c:v>13.429592785564466</c:v>
                </c:pt>
                <c:pt idx="9">
                  <c:v>13.387454188389029</c:v>
                </c:pt>
                <c:pt idx="10">
                  <c:v>13.345500103579013</c:v>
                </c:pt>
                <c:pt idx="11">
                  <c:v>13.303728877483536</c:v>
                </c:pt>
                <c:pt idx="12">
                  <c:v>13.262138882528518</c:v>
                </c:pt>
                <c:pt idx="13">
                  <c:v>13.220728516638587</c:v>
                </c:pt>
                <c:pt idx="14">
                  <c:v>13.179496202675693</c:v>
                </c:pt>
                <c:pt idx="15">
                  <c:v>13.138440387893354</c:v>
                </c:pt>
                <c:pt idx="16">
                  <c:v>13.097559543406305</c:v>
                </c:pt>
                <c:pt idx="17">
                  <c:v>13.056852163674932</c:v>
                </c:pt>
                <c:pt idx="18">
                  <c:v>13.016316766004195</c:v>
                </c:pt>
                <c:pt idx="19">
                  <c:v>12.975951890056308</c:v>
                </c:pt>
                <c:pt idx="20">
                  <c:v>12.935756097376213</c:v>
                </c:pt>
                <c:pt idx="21">
                  <c:v>12.89572797093075</c:v>
                </c:pt>
                <c:pt idx="22">
                  <c:v>12.855866114660159</c:v>
                </c:pt>
                <c:pt idx="23">
                  <c:v>12.816169153041301</c:v>
                </c:pt>
                <c:pt idx="24">
                  <c:v>12.776635730662463</c:v>
                </c:pt>
                <c:pt idx="25">
                  <c:v>12.737264511810054</c:v>
                </c:pt>
                <c:pt idx="26">
                  <c:v>12.698054180065981</c:v>
                </c:pt>
                <c:pt idx="27">
                  <c:v>12.659003437915146</c:v>
                </c:pt>
                <c:pt idx="28">
                  <c:v>12.62011100636397</c:v>
                </c:pt>
                <c:pt idx="29">
                  <c:v>12.581375624568125</c:v>
                </c:pt>
                <c:pt idx="30">
                  <c:v>12.542796049469985</c:v>
                </c:pt>
                <c:pt idx="31">
                  <c:v>12.504371055446256</c:v>
                </c:pt>
                <c:pt idx="32">
                  <c:v>12.466099433963223</c:v>
                </c:pt>
                <c:pt idx="33">
                  <c:v>12.427979993241593</c:v>
                </c:pt>
                <c:pt idx="34">
                  <c:v>12.390011557929711</c:v>
                </c:pt>
                <c:pt idx="35">
                  <c:v>12.352192968784834</c:v>
                </c:pt>
                <c:pt idx="36">
                  <c:v>12.314523082362257</c:v>
                </c:pt>
                <c:pt idx="37">
                  <c:v>12.277000770712448</c:v>
                </c:pt>
                <c:pt idx="38">
                  <c:v>12.239624921085635</c:v>
                </c:pt>
                <c:pt idx="39">
                  <c:v>12.202394435642873</c:v>
                </c:pt>
                <c:pt idx="40">
                  <c:v>12.165308231175459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C787-4946-8259-07815E9A6519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Navigation!$AQ$17:$AQ$59</c:f>
              <c:numCache>
                <c:formatCode>0.00\°</c:formatCode>
                <c:ptCount val="43"/>
                <c:pt idx="0">
                  <c:v>28.166371603263869</c:v>
                </c:pt>
                <c:pt idx="1">
                  <c:v>28.14137160326387</c:v>
                </c:pt>
                <c:pt idx="2">
                  <c:v>28.116371603263872</c:v>
                </c:pt>
                <c:pt idx="3">
                  <c:v>28.091371603263873</c:v>
                </c:pt>
                <c:pt idx="4">
                  <c:v>28.066371603263875</c:v>
                </c:pt>
                <c:pt idx="5">
                  <c:v>28.041371603263876</c:v>
                </c:pt>
                <c:pt idx="6">
                  <c:v>28.016371603263877</c:v>
                </c:pt>
                <c:pt idx="7">
                  <c:v>27.991371603263879</c:v>
                </c:pt>
                <c:pt idx="8">
                  <c:v>27.96637160326388</c:v>
                </c:pt>
                <c:pt idx="9">
                  <c:v>27.941371603263882</c:v>
                </c:pt>
                <c:pt idx="10">
                  <c:v>27.916371603263883</c:v>
                </c:pt>
                <c:pt idx="11">
                  <c:v>27.891371603263885</c:v>
                </c:pt>
                <c:pt idx="12">
                  <c:v>27.866371603263886</c:v>
                </c:pt>
                <c:pt idx="13">
                  <c:v>27.841371603263887</c:v>
                </c:pt>
                <c:pt idx="14">
                  <c:v>27.816371603263889</c:v>
                </c:pt>
                <c:pt idx="15">
                  <c:v>27.79137160326389</c:v>
                </c:pt>
                <c:pt idx="16">
                  <c:v>27.766371603263892</c:v>
                </c:pt>
                <c:pt idx="17">
                  <c:v>27.741371603263893</c:v>
                </c:pt>
                <c:pt idx="18">
                  <c:v>27.716371603263894</c:v>
                </c:pt>
                <c:pt idx="19">
                  <c:v>27.691371603263896</c:v>
                </c:pt>
                <c:pt idx="20">
                  <c:v>27.666371603263897</c:v>
                </c:pt>
                <c:pt idx="21">
                  <c:v>27.641371603263899</c:v>
                </c:pt>
                <c:pt idx="22">
                  <c:v>27.6163716032639</c:v>
                </c:pt>
                <c:pt idx="23">
                  <c:v>27.591371603263902</c:v>
                </c:pt>
                <c:pt idx="24">
                  <c:v>27.566371603263903</c:v>
                </c:pt>
                <c:pt idx="25">
                  <c:v>27.541371603263904</c:v>
                </c:pt>
                <c:pt idx="26">
                  <c:v>27.516371603263906</c:v>
                </c:pt>
                <c:pt idx="27">
                  <c:v>27.491371603263907</c:v>
                </c:pt>
                <c:pt idx="28">
                  <c:v>27.466371603263909</c:v>
                </c:pt>
                <c:pt idx="29">
                  <c:v>27.44137160326391</c:v>
                </c:pt>
                <c:pt idx="30">
                  <c:v>27.416371603263912</c:v>
                </c:pt>
                <c:pt idx="31">
                  <c:v>27.391371603263913</c:v>
                </c:pt>
                <c:pt idx="32">
                  <c:v>27.366371603263914</c:v>
                </c:pt>
                <c:pt idx="33">
                  <c:v>27.341371603263916</c:v>
                </c:pt>
                <c:pt idx="34">
                  <c:v>27.316371603263917</c:v>
                </c:pt>
                <c:pt idx="35">
                  <c:v>27.291371603263919</c:v>
                </c:pt>
                <c:pt idx="36">
                  <c:v>27.26637160326392</c:v>
                </c:pt>
                <c:pt idx="37">
                  <c:v>27.241371603263921</c:v>
                </c:pt>
                <c:pt idx="38">
                  <c:v>27.216371603263923</c:v>
                </c:pt>
                <c:pt idx="39">
                  <c:v>27.191371603263924</c:v>
                </c:pt>
                <c:pt idx="40">
                  <c:v>27.166371603263926</c:v>
                </c:pt>
                <c:pt idx="41">
                  <c:v>27.807499185493562</c:v>
                </c:pt>
                <c:pt idx="42">
                  <c:v>27.525244021034233</c:v>
                </c:pt>
              </c:numCache>
            </c:numRef>
          </c:xVal>
          <c:yVal>
            <c:numRef>
              <c:f>Navigation!$AW$17:$AW$59</c:f>
              <c:numCache>
                <c:formatCode>0.00\°</c:formatCode>
                <c:ptCount val="43"/>
                <c:pt idx="0">
                  <c:v>12.439014086677428</c:v>
                </c:pt>
                <c:pt idx="1">
                  <c:v>12.469135720437368</c:v>
                </c:pt>
                <c:pt idx="2">
                  <c:v>12.499167353001623</c:v>
                </c:pt>
                <c:pt idx="3">
                  <c:v>12.529109428813729</c:v>
                </c:pt>
                <c:pt idx="4">
                  <c:v>12.55896238835985</c:v>
                </c:pt>
                <c:pt idx="5">
                  <c:v>12.588726668218479</c:v>
                </c:pt>
                <c:pt idx="6">
                  <c:v>12.618402701109193</c:v>
                </c:pt>
                <c:pt idx="7">
                  <c:v>12.647990915940877</c:v>
                </c:pt>
                <c:pt idx="8">
                  <c:v>12.677491737858984</c:v>
                </c:pt>
                <c:pt idx="9">
                  <c:v>12.706905588292111</c:v>
                </c:pt>
                <c:pt idx="10">
                  <c:v>12.736232884997733</c:v>
                </c:pt>
                <c:pt idx="11">
                  <c:v>12.765474042107376</c:v>
                </c:pt>
                <c:pt idx="12">
                  <c:v>12.794629470170957</c:v>
                </c:pt>
                <c:pt idx="13">
                  <c:v>12.823699576200342</c:v>
                </c:pt>
                <c:pt idx="14">
                  <c:v>12.852684763712507</c:v>
                </c:pt>
                <c:pt idx="15">
                  <c:v>12.881585432771674</c:v>
                </c:pt>
                <c:pt idx="16">
                  <c:v>12.910401980031015</c:v>
                </c:pt>
                <c:pt idx="17">
                  <c:v>12.93913479877366</c:v>
                </c:pt>
                <c:pt idx="18">
                  <c:v>12.967784278952927</c:v>
                </c:pt>
                <c:pt idx="19">
                  <c:v>12.996350807232197</c:v>
                </c:pt>
                <c:pt idx="20">
                  <c:v>13.024834767023863</c:v>
                </c:pt>
                <c:pt idx="21">
                  <c:v>13.05323653852806</c:v>
                </c:pt>
                <c:pt idx="22">
                  <c:v>13.081556498770345</c:v>
                </c:pt>
                <c:pt idx="23">
                  <c:v>13.109795021639137</c:v>
                </c:pt>
                <c:pt idx="24">
                  <c:v>13.137952477922504</c:v>
                </c:pt>
                <c:pt idx="25">
                  <c:v>13.166029235344363</c:v>
                </c:pt>
                <c:pt idx="26">
                  <c:v>13.194025658600163</c:v>
                </c:pt>
                <c:pt idx="27">
                  <c:v>13.221942109391808</c:v>
                </c:pt>
                <c:pt idx="28">
                  <c:v>13.249778946462712</c:v>
                </c:pt>
                <c:pt idx="29">
                  <c:v>13.277536525631309</c:v>
                </c:pt>
                <c:pt idx="30">
                  <c:v>13.305215199825103</c:v>
                </c:pt>
                <c:pt idx="31">
                  <c:v>13.332815319113484</c:v>
                </c:pt>
                <c:pt idx="32">
                  <c:v>13.360337230740292</c:v>
                </c:pt>
                <c:pt idx="33">
                  <c:v>13.387781279156153</c:v>
                </c:pt>
                <c:pt idx="34">
                  <c:v>13.415147806049847</c:v>
                </c:pt>
                <c:pt idx="35">
                  <c:v>13.442437150379613</c:v>
                </c:pt>
                <c:pt idx="36">
                  <c:v>13.469649648403758</c:v>
                </c:pt>
                <c:pt idx="37">
                  <c:v>13.496785633711118</c:v>
                </c:pt>
                <c:pt idx="38">
                  <c:v>13.523845437250598</c:v>
                </c:pt>
                <c:pt idx="39">
                  <c:v>13.550829387360805</c:v>
                </c:pt>
                <c:pt idx="40">
                  <c:v>13.577737809798933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C787-4946-8259-07815E9A6519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Navigation!$AQ$17:$AQ$59</c:f>
              <c:numCache>
                <c:formatCode>0.00\°</c:formatCode>
                <c:ptCount val="43"/>
                <c:pt idx="0">
                  <c:v>28.166371603263869</c:v>
                </c:pt>
                <c:pt idx="1">
                  <c:v>28.14137160326387</c:v>
                </c:pt>
                <c:pt idx="2">
                  <c:v>28.116371603263872</c:v>
                </c:pt>
                <c:pt idx="3">
                  <c:v>28.091371603263873</c:v>
                </c:pt>
                <c:pt idx="4">
                  <c:v>28.066371603263875</c:v>
                </c:pt>
                <c:pt idx="5">
                  <c:v>28.041371603263876</c:v>
                </c:pt>
                <c:pt idx="6">
                  <c:v>28.016371603263877</c:v>
                </c:pt>
                <c:pt idx="7">
                  <c:v>27.991371603263879</c:v>
                </c:pt>
                <c:pt idx="8">
                  <c:v>27.96637160326388</c:v>
                </c:pt>
                <c:pt idx="9">
                  <c:v>27.941371603263882</c:v>
                </c:pt>
                <c:pt idx="10">
                  <c:v>27.916371603263883</c:v>
                </c:pt>
                <c:pt idx="11">
                  <c:v>27.891371603263885</c:v>
                </c:pt>
                <c:pt idx="12">
                  <c:v>27.866371603263886</c:v>
                </c:pt>
                <c:pt idx="13">
                  <c:v>27.841371603263887</c:v>
                </c:pt>
                <c:pt idx="14">
                  <c:v>27.816371603263889</c:v>
                </c:pt>
                <c:pt idx="15">
                  <c:v>27.79137160326389</c:v>
                </c:pt>
                <c:pt idx="16">
                  <c:v>27.766371603263892</c:v>
                </c:pt>
                <c:pt idx="17">
                  <c:v>27.741371603263893</c:v>
                </c:pt>
                <c:pt idx="18">
                  <c:v>27.716371603263894</c:v>
                </c:pt>
                <c:pt idx="19">
                  <c:v>27.691371603263896</c:v>
                </c:pt>
                <c:pt idx="20">
                  <c:v>27.666371603263897</c:v>
                </c:pt>
                <c:pt idx="21">
                  <c:v>27.641371603263899</c:v>
                </c:pt>
                <c:pt idx="22">
                  <c:v>27.6163716032639</c:v>
                </c:pt>
                <c:pt idx="23">
                  <c:v>27.591371603263902</c:v>
                </c:pt>
                <c:pt idx="24">
                  <c:v>27.566371603263903</c:v>
                </c:pt>
                <c:pt idx="25">
                  <c:v>27.541371603263904</c:v>
                </c:pt>
                <c:pt idx="26">
                  <c:v>27.516371603263906</c:v>
                </c:pt>
                <c:pt idx="27">
                  <c:v>27.491371603263907</c:v>
                </c:pt>
                <c:pt idx="28">
                  <c:v>27.466371603263909</c:v>
                </c:pt>
                <c:pt idx="29">
                  <c:v>27.44137160326391</c:v>
                </c:pt>
                <c:pt idx="30">
                  <c:v>27.416371603263912</c:v>
                </c:pt>
                <c:pt idx="31">
                  <c:v>27.391371603263913</c:v>
                </c:pt>
                <c:pt idx="32">
                  <c:v>27.366371603263914</c:v>
                </c:pt>
                <c:pt idx="33">
                  <c:v>27.341371603263916</c:v>
                </c:pt>
                <c:pt idx="34">
                  <c:v>27.316371603263917</c:v>
                </c:pt>
                <c:pt idx="35">
                  <c:v>27.291371603263919</c:v>
                </c:pt>
                <c:pt idx="36">
                  <c:v>27.26637160326392</c:v>
                </c:pt>
                <c:pt idx="37">
                  <c:v>27.241371603263921</c:v>
                </c:pt>
                <c:pt idx="38">
                  <c:v>27.216371603263923</c:v>
                </c:pt>
                <c:pt idx="39">
                  <c:v>27.191371603263924</c:v>
                </c:pt>
                <c:pt idx="40">
                  <c:v>27.166371603263926</c:v>
                </c:pt>
                <c:pt idx="41">
                  <c:v>27.807499185493562</c:v>
                </c:pt>
                <c:pt idx="42">
                  <c:v>27.525244021034233</c:v>
                </c:pt>
              </c:numCache>
            </c:numRef>
          </c:xVal>
          <c:yVal>
            <c:numRef>
              <c:f>Navigation!$AX$17:$AX$59</c:f>
              <c:numCache>
                <c:formatCode>0.00\°</c:formatCode>
                <c:ptCount val="43"/>
                <c:pt idx="0">
                  <c:v>14.292766550774161</c:v>
                </c:pt>
                <c:pt idx="1">
                  <c:v>14.247322148880301</c:v>
                </c:pt>
                <c:pt idx="2">
                  <c:v>14.202095753702906</c:v>
                </c:pt>
                <c:pt idx="3">
                  <c:v>14.157085140419269</c:v>
                </c:pt>
                <c:pt idx="4">
                  <c:v>14.112288123911583</c:v>
                </c:pt>
                <c:pt idx="5">
                  <c:v>14.067702557772009</c:v>
                </c:pt>
                <c:pt idx="6">
                  <c:v>14.023326333340435</c:v>
                </c:pt>
                <c:pt idx="7">
                  <c:v>13.979157378772584</c:v>
                </c:pt>
                <c:pt idx="8">
                  <c:v>13.935193658137962</c:v>
                </c:pt>
                <c:pt idx="9">
                  <c:v>13.891433170545554</c:v>
                </c:pt>
                <c:pt idx="10">
                  <c:v>13.847873949297423</c:v>
                </c:pt>
                <c:pt idx="11">
                  <c:v>13.804514061067948</c:v>
                </c:pt>
                <c:pt idx="12">
                  <c:v>13.761351605108985</c:v>
                </c:pt>
                <c:pt idx="13">
                  <c:v>13.71838471247861</c:v>
                </c:pt>
                <c:pt idx="14">
                  <c:v>13.675611545293805</c:v>
                </c:pt>
                <c:pt idx="15">
                  <c:v>13.633030296005415</c:v>
                </c:pt>
                <c:pt idx="16">
                  <c:v>13.59063918669483</c:v>
                </c:pt>
                <c:pt idx="17">
                  <c:v>13.548436468391458</c:v>
                </c:pt>
                <c:pt idx="18">
                  <c:v>13.506420420411075</c:v>
                </c:pt>
                <c:pt idx="19">
                  <c:v>13.464589349712298</c:v>
                </c:pt>
                <c:pt idx="20">
                  <c:v>13.422941590273297</c:v>
                </c:pt>
                <c:pt idx="21">
                  <c:v>13.381475502485216</c:v>
                </c:pt>
                <c:pt idx="22">
                  <c:v>13.34018947256385</c:v>
                </c:pt>
                <c:pt idx="23">
                  <c:v>13.299081911978305</c:v>
                </c:pt>
                <c:pt idx="24">
                  <c:v>13.258151256895189</c:v>
                </c:pt>
                <c:pt idx="25">
                  <c:v>13.217395967638708</c:v>
                </c:pt>
                <c:pt idx="26">
                  <c:v>13.176814528166574</c:v>
                </c:pt>
                <c:pt idx="27">
                  <c:v>13.13640544555966</c:v>
                </c:pt>
                <c:pt idx="28">
                  <c:v>13.096167249525934</c:v>
                </c:pt>
                <c:pt idx="29">
                  <c:v>13.056098491918931</c:v>
                </c:pt>
                <c:pt idx="30">
                  <c:v>13.016197746267892</c:v>
                </c:pt>
                <c:pt idx="31">
                  <c:v>12.976463607322216</c:v>
                </c:pt>
                <c:pt idx="32">
                  <c:v>12.936894690607119</c:v>
                </c:pt>
                <c:pt idx="33">
                  <c:v>12.897489631991675</c:v>
                </c:pt>
                <c:pt idx="34">
                  <c:v>12.858247087268751</c:v>
                </c:pt>
                <c:pt idx="35">
                  <c:v>12.819165731744988</c:v>
                </c:pt>
                <c:pt idx="36">
                  <c:v>12.780244259843016</c:v>
                </c:pt>
                <c:pt idx="37">
                  <c:v>12.74148138471304</c:v>
                </c:pt>
                <c:pt idx="38">
                  <c:v>12.702875837855004</c:v>
                </c:pt>
                <c:pt idx="39">
                  <c:v>12.664426368750355</c:v>
                </c:pt>
                <c:pt idx="40">
                  <c:v>12.626131744503652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9-C787-4946-8259-07815E9A6519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B0F0"/>
                </a:solidFill>
                <a:round/>
                <a:headEnd type="none" w="lg" len="lg"/>
                <a:tailEnd type="arrow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3B-C787-4946-8259-07815E9A6519}"/>
              </c:ext>
            </c:extLst>
          </c:dPt>
          <c:xVal>
            <c:numRef>
              <c:f>Navigation!$AQ$17:$AQ$59</c:f>
              <c:numCache>
                <c:formatCode>0.00\°</c:formatCode>
                <c:ptCount val="43"/>
                <c:pt idx="0">
                  <c:v>28.166371603263869</c:v>
                </c:pt>
                <c:pt idx="1">
                  <c:v>28.14137160326387</c:v>
                </c:pt>
                <c:pt idx="2">
                  <c:v>28.116371603263872</c:v>
                </c:pt>
                <c:pt idx="3">
                  <c:v>28.091371603263873</c:v>
                </c:pt>
                <c:pt idx="4">
                  <c:v>28.066371603263875</c:v>
                </c:pt>
                <c:pt idx="5">
                  <c:v>28.041371603263876</c:v>
                </c:pt>
                <c:pt idx="6">
                  <c:v>28.016371603263877</c:v>
                </c:pt>
                <c:pt idx="7">
                  <c:v>27.991371603263879</c:v>
                </c:pt>
                <c:pt idx="8">
                  <c:v>27.96637160326388</c:v>
                </c:pt>
                <c:pt idx="9">
                  <c:v>27.941371603263882</c:v>
                </c:pt>
                <c:pt idx="10">
                  <c:v>27.916371603263883</c:v>
                </c:pt>
                <c:pt idx="11">
                  <c:v>27.891371603263885</c:v>
                </c:pt>
                <c:pt idx="12">
                  <c:v>27.866371603263886</c:v>
                </c:pt>
                <c:pt idx="13">
                  <c:v>27.841371603263887</c:v>
                </c:pt>
                <c:pt idx="14">
                  <c:v>27.816371603263889</c:v>
                </c:pt>
                <c:pt idx="15">
                  <c:v>27.79137160326389</c:v>
                </c:pt>
                <c:pt idx="16">
                  <c:v>27.766371603263892</c:v>
                </c:pt>
                <c:pt idx="17">
                  <c:v>27.741371603263893</c:v>
                </c:pt>
                <c:pt idx="18">
                  <c:v>27.716371603263894</c:v>
                </c:pt>
                <c:pt idx="19">
                  <c:v>27.691371603263896</c:v>
                </c:pt>
                <c:pt idx="20">
                  <c:v>27.666371603263897</c:v>
                </c:pt>
                <c:pt idx="21">
                  <c:v>27.641371603263899</c:v>
                </c:pt>
                <c:pt idx="22">
                  <c:v>27.6163716032639</c:v>
                </c:pt>
                <c:pt idx="23">
                  <c:v>27.591371603263902</c:v>
                </c:pt>
                <c:pt idx="24">
                  <c:v>27.566371603263903</c:v>
                </c:pt>
                <c:pt idx="25">
                  <c:v>27.541371603263904</c:v>
                </c:pt>
                <c:pt idx="26">
                  <c:v>27.516371603263906</c:v>
                </c:pt>
                <c:pt idx="27">
                  <c:v>27.491371603263907</c:v>
                </c:pt>
                <c:pt idx="28">
                  <c:v>27.466371603263909</c:v>
                </c:pt>
                <c:pt idx="29">
                  <c:v>27.44137160326391</c:v>
                </c:pt>
                <c:pt idx="30">
                  <c:v>27.416371603263912</c:v>
                </c:pt>
                <c:pt idx="31">
                  <c:v>27.391371603263913</c:v>
                </c:pt>
                <c:pt idx="32">
                  <c:v>27.366371603263914</c:v>
                </c:pt>
                <c:pt idx="33">
                  <c:v>27.341371603263916</c:v>
                </c:pt>
                <c:pt idx="34">
                  <c:v>27.316371603263917</c:v>
                </c:pt>
                <c:pt idx="35">
                  <c:v>27.291371603263919</c:v>
                </c:pt>
                <c:pt idx="36">
                  <c:v>27.26637160326392</c:v>
                </c:pt>
                <c:pt idx="37">
                  <c:v>27.241371603263921</c:v>
                </c:pt>
                <c:pt idx="38">
                  <c:v>27.216371603263923</c:v>
                </c:pt>
                <c:pt idx="39">
                  <c:v>27.191371603263924</c:v>
                </c:pt>
                <c:pt idx="40">
                  <c:v>27.166371603263926</c:v>
                </c:pt>
                <c:pt idx="41">
                  <c:v>27.807499185493562</c:v>
                </c:pt>
                <c:pt idx="42">
                  <c:v>27.525244021034233</c:v>
                </c:pt>
              </c:numCache>
            </c:numRef>
          </c:xVal>
          <c:yVal>
            <c:numRef>
              <c:f>Navigation!$AY$17:$AY$59</c:f>
              <c:numCache>
                <c:formatCode>General</c:formatCode>
                <c:ptCount val="43"/>
                <c:pt idx="41" formatCode="0.00">
                  <c:v>13.163350838224826</c:v>
                </c:pt>
                <c:pt idx="42" formatCode="0.00">
                  <c:v>13.191196940733903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A-C787-4946-8259-07815E9A6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1"/>
        <c:minorUnit val="0.16666600000000001"/>
      </c:valAx>
      <c:valAx>
        <c:axId val="1385133584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142430</xdr:colOff>
      <xdr:row>0</xdr:row>
      <xdr:rowOff>83084</xdr:rowOff>
    </xdr:from>
    <xdr:to>
      <xdr:col>6</xdr:col>
      <xdr:colOff>391683</xdr:colOff>
      <xdr:row>4</xdr:row>
      <xdr:rowOff>107990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CDD4EC0E-C1F0-694E-9C3B-0BA066200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01402" y="83084"/>
          <a:ext cx="985141" cy="1121023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29</xdr:row>
      <xdr:rowOff>114300</xdr:rowOff>
    </xdr:from>
    <xdr:to>
      <xdr:col>8</xdr:col>
      <xdr:colOff>205700</xdr:colOff>
      <xdr:row>54</xdr:row>
      <xdr:rowOff>91400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291170D-37A2-D344-B71E-0A04524245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63</xdr:row>
      <xdr:rowOff>0</xdr:rowOff>
    </xdr:from>
    <xdr:to>
      <xdr:col>0</xdr:col>
      <xdr:colOff>0</xdr:colOff>
      <xdr:row>91</xdr:row>
      <xdr:rowOff>215900</xdr:rowOff>
    </xdr:to>
    <xdr:cxnSp macro="">
      <xdr:nvCxnSpPr>
        <xdr:cNvPr id="10" name="Gerade Verbindung 9">
          <a:extLst>
            <a:ext uri="{FF2B5EF4-FFF2-40B4-BE49-F238E27FC236}">
              <a16:creationId xmlns:a16="http://schemas.microsoft.com/office/drawing/2014/main" id="{A13BAF17-9648-B741-84AF-B64CDCD536A3}"/>
            </a:ext>
          </a:extLst>
        </xdr:cNvPr>
        <xdr:cNvCxnSpPr/>
      </xdr:nvCxnSpPr>
      <xdr:spPr>
        <a:xfrm>
          <a:off x="0" y="14693900"/>
          <a:ext cx="0" cy="7454900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63</xdr:row>
      <xdr:rowOff>0</xdr:rowOff>
    </xdr:from>
    <xdr:to>
      <xdr:col>0</xdr:col>
      <xdr:colOff>0</xdr:colOff>
      <xdr:row>92</xdr:row>
      <xdr:rowOff>215900</xdr:rowOff>
    </xdr:to>
    <xdr:cxnSp macro="">
      <xdr:nvCxnSpPr>
        <xdr:cNvPr id="11" name="Gerade Verbindung 10">
          <a:extLst>
            <a:ext uri="{FF2B5EF4-FFF2-40B4-BE49-F238E27FC236}">
              <a16:creationId xmlns:a16="http://schemas.microsoft.com/office/drawing/2014/main" id="{ADF29EB2-98C6-484D-B464-EBEEDD3DD83A}"/>
            </a:ext>
          </a:extLst>
        </xdr:cNvPr>
        <xdr:cNvCxnSpPr/>
      </xdr:nvCxnSpPr>
      <xdr:spPr>
        <a:xfrm>
          <a:off x="355600" y="14693900"/>
          <a:ext cx="0" cy="7696200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70028</xdr:colOff>
      <xdr:row>0</xdr:row>
      <xdr:rowOff>76200</xdr:rowOff>
    </xdr:from>
    <xdr:to>
      <xdr:col>8</xdr:col>
      <xdr:colOff>247472</xdr:colOff>
      <xdr:row>26</xdr:row>
      <xdr:rowOff>70384</xdr:rowOff>
    </xdr:to>
    <xdr:sp macro="" textlink="">
      <xdr:nvSpPr>
        <xdr:cNvPr id="6" name="Rechteck 5">
          <a:extLst>
            <a:ext uri="{FF2B5EF4-FFF2-40B4-BE49-F238E27FC236}">
              <a16:creationId xmlns:a16="http://schemas.microsoft.com/office/drawing/2014/main" id="{FDB7CCC1-5BB8-4544-A167-1957A26788E1}"/>
            </a:ext>
          </a:extLst>
        </xdr:cNvPr>
        <xdr:cNvSpPr/>
      </xdr:nvSpPr>
      <xdr:spPr>
        <a:xfrm>
          <a:off x="70028" y="76200"/>
          <a:ext cx="5447944" cy="667438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/>
        <a:lstStyle>
          <a:lvl1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>
            <a:defRPr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de-DE" sz="110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0.11815</cdr:x>
      <cdr:y>0.43658</cdr:y>
    </cdr:from>
    <cdr:to>
      <cdr:x>0.21691</cdr:x>
      <cdr:y>0.49629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637924" y="2306298"/>
          <a:ext cx="533245" cy="3154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0.86652</cdr:x>
      <cdr:y>0.443</cdr:y>
    </cdr:from>
    <cdr:to>
      <cdr:x>0.96528</cdr:x>
      <cdr:y>0.50272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678678" y="2340179"/>
          <a:ext cx="533246" cy="3154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0.53247</cdr:x>
      <cdr:y>0.86981</cdr:y>
    </cdr:from>
    <cdr:to>
      <cdr:x>0.63123</cdr:x>
      <cdr:y>0.92953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3067048" y="4998577"/>
          <a:ext cx="568857" cy="3431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0.53018</cdr:x>
      <cdr:y>0.07837</cdr:y>
    </cdr:from>
    <cdr:to>
      <cdr:x>0.62894</cdr:x>
      <cdr:y>0.13809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3053819" y="450366"/>
          <a:ext cx="568858" cy="3431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AZ444"/>
  <sheetViews>
    <sheetView showGridLines="0" showRowColHeaders="0" tabSelected="1" zoomScaleNormal="100" workbookViewId="0">
      <selection activeCell="C6" sqref="C6"/>
    </sheetView>
  </sheetViews>
  <sheetFormatPr baseColWidth="10" defaultRowHeight="16"/>
  <cols>
    <col min="1" max="1" width="3.6640625" style="9" customWidth="1"/>
    <col min="2" max="2" width="25.1640625" style="9" customWidth="1"/>
    <col min="3" max="3" width="7.33203125" style="9" customWidth="1"/>
    <col min="4" max="4" width="7.83203125" style="9" customWidth="1"/>
    <col min="5" max="6" width="4.83203125" style="9" customWidth="1"/>
    <col min="7" max="7" width="7.83203125" style="9" customWidth="1"/>
    <col min="8" max="8" width="7.6640625" style="9" customWidth="1"/>
    <col min="9" max="10" width="3.83203125" style="1" customWidth="1"/>
    <col min="11" max="11" width="4.83203125" style="1" hidden="1" customWidth="1"/>
    <col min="12" max="20" width="11.83203125" style="1" hidden="1" customWidth="1"/>
    <col min="21" max="21" width="5.5" style="1" hidden="1" customWidth="1"/>
    <col min="22" max="24" width="11.83203125" style="1" hidden="1" customWidth="1"/>
    <col min="25" max="25" width="10.1640625" style="1" hidden="1" customWidth="1"/>
    <col min="26" max="26" width="4.83203125" style="1" hidden="1" customWidth="1"/>
    <col min="27" max="29" width="9.83203125" style="28" hidden="1" customWidth="1"/>
    <col min="30" max="30" width="9.83203125" style="76" hidden="1" customWidth="1"/>
    <col min="31" max="31" width="4.83203125" style="76" hidden="1" customWidth="1"/>
    <col min="32" max="35" width="9.83203125" style="76" hidden="1" customWidth="1"/>
    <col min="36" max="36" width="4.83203125" style="76" hidden="1" customWidth="1"/>
    <col min="37" max="40" width="9.83203125" style="76" hidden="1" customWidth="1"/>
    <col min="41" max="41" width="4.83203125" style="76" hidden="1" customWidth="1"/>
    <col min="42" max="42" width="11.5" style="9" hidden="1" customWidth="1"/>
    <col min="43" max="52" width="10.83203125" style="9" hidden="1" customWidth="1"/>
    <col min="53" max="16384" width="10.83203125" style="9"/>
  </cols>
  <sheetData>
    <row r="1" spans="2:51">
      <c r="H1" s="3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19"/>
    </row>
    <row r="2" spans="2:51" ht="29">
      <c r="B2" s="43" t="s">
        <v>85</v>
      </c>
      <c r="C2" s="11"/>
      <c r="D2" s="11"/>
      <c r="H2" s="107">
        <f>YEAR(G12)</f>
        <v>2021</v>
      </c>
      <c r="L2" s="420" t="s">
        <v>122</v>
      </c>
      <c r="M2" s="420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</row>
    <row r="3" spans="2:51" ht="22" customHeight="1">
      <c r="T3" s="62"/>
      <c r="U3" s="62"/>
      <c r="V3" s="62"/>
      <c r="W3" s="62"/>
      <c r="X3" s="62"/>
      <c r="Y3" s="62"/>
      <c r="Z3" s="62"/>
      <c r="AA3" s="76"/>
      <c r="AB3" s="76"/>
      <c r="AC3" s="76"/>
      <c r="AI3" s="79"/>
      <c r="AJ3" s="79"/>
      <c r="AK3" s="79"/>
      <c r="AL3" s="79"/>
      <c r="AM3" s="79"/>
      <c r="AN3" s="79"/>
      <c r="AO3" s="79"/>
    </row>
    <row r="4" spans="2:51" ht="20" customHeight="1">
      <c r="D4" s="42"/>
      <c r="T4" s="61"/>
      <c r="U4" s="39"/>
      <c r="Z4" s="19"/>
      <c r="AA4" s="80"/>
      <c r="AB4" s="80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</row>
    <row r="5" spans="2:51" s="22" customFormat="1" ht="20" customHeight="1" thickBot="1">
      <c r="B5" s="256" t="s">
        <v>19</v>
      </c>
      <c r="C5" s="257"/>
      <c r="D5" s="258"/>
      <c r="E5" s="258"/>
      <c r="F5" s="36"/>
      <c r="G5" s="36"/>
      <c r="H5" s="36"/>
      <c r="I5" s="27"/>
      <c r="J5" s="27"/>
      <c r="K5" s="27"/>
      <c r="L5" s="125" t="s">
        <v>42</v>
      </c>
      <c r="M5" s="27"/>
      <c r="N5" s="27"/>
      <c r="O5" s="27"/>
      <c r="P5" s="27"/>
      <c r="Q5" s="27"/>
      <c r="R5" s="27"/>
      <c r="S5" s="259" t="s">
        <v>22</v>
      </c>
      <c r="T5" s="260"/>
      <c r="U5" s="27"/>
      <c r="V5" s="68" t="s">
        <v>6</v>
      </c>
      <c r="W5" s="76"/>
      <c r="X5" s="76"/>
      <c r="Y5" s="76"/>
      <c r="Z5" s="19"/>
      <c r="AA5" s="86" t="s">
        <v>23</v>
      </c>
      <c r="AB5" s="261"/>
      <c r="AC5" s="75"/>
      <c r="AD5" s="82"/>
      <c r="AE5" s="82"/>
      <c r="AF5" s="86" t="s">
        <v>41</v>
      </c>
      <c r="AG5" s="82"/>
      <c r="AH5" s="82"/>
      <c r="AI5" s="82"/>
      <c r="AJ5" s="82"/>
      <c r="AK5" s="86" t="s">
        <v>52</v>
      </c>
      <c r="AL5" s="72"/>
      <c r="AM5" s="70"/>
      <c r="AN5" s="262"/>
      <c r="AO5" s="82"/>
      <c r="AQ5" s="125" t="s">
        <v>64</v>
      </c>
    </row>
    <row r="6" spans="2:51" ht="20" customHeight="1" thickBot="1">
      <c r="B6" s="58" t="s">
        <v>20</v>
      </c>
      <c r="C6" s="239">
        <v>1.5</v>
      </c>
      <c r="D6" s="424" t="s">
        <v>83</v>
      </c>
      <c r="E6" s="425"/>
      <c r="F6" s="425"/>
      <c r="G6" s="426"/>
      <c r="H6" s="245" t="s">
        <v>35</v>
      </c>
      <c r="L6" s="128"/>
      <c r="M6" s="131"/>
      <c r="N6" s="438" t="s">
        <v>48</v>
      </c>
      <c r="O6" s="439"/>
      <c r="P6" s="438" t="s">
        <v>3</v>
      </c>
      <c r="Q6" s="439"/>
      <c r="S6" s="283" t="s">
        <v>10</v>
      </c>
      <c r="T6" s="284" t="s">
        <v>18</v>
      </c>
      <c r="V6" s="353" t="s">
        <v>88</v>
      </c>
      <c r="W6" s="359">
        <f>DGET(AG6:AI30,1,AK33:AK34)</f>
        <v>27.70000000000001</v>
      </c>
      <c r="X6" s="355"/>
      <c r="Y6" s="356"/>
      <c r="AA6" s="93" t="s">
        <v>24</v>
      </c>
      <c r="AB6" s="94" t="s">
        <v>9</v>
      </c>
      <c r="AC6" s="95" t="s">
        <v>25</v>
      </c>
      <c r="AD6" s="96" t="s">
        <v>26</v>
      </c>
      <c r="AE6" s="75"/>
      <c r="AF6" s="93" t="s">
        <v>24</v>
      </c>
      <c r="AG6" s="94" t="s">
        <v>9</v>
      </c>
      <c r="AH6" s="95" t="s">
        <v>25</v>
      </c>
      <c r="AI6" s="96" t="s">
        <v>26</v>
      </c>
      <c r="AJ6" s="75"/>
      <c r="AK6" s="93" t="s">
        <v>24</v>
      </c>
      <c r="AL6" s="94" t="s">
        <v>9</v>
      </c>
      <c r="AM6" s="95" t="s">
        <v>25</v>
      </c>
      <c r="AN6" s="96" t="s">
        <v>26</v>
      </c>
    </row>
    <row r="7" spans="2:51" ht="20" customHeight="1" thickBot="1">
      <c r="B7" s="59" t="s">
        <v>21</v>
      </c>
      <c r="C7" s="240">
        <v>1.5</v>
      </c>
      <c r="D7" s="435" t="s">
        <v>84</v>
      </c>
      <c r="E7" s="436"/>
      <c r="F7" s="436"/>
      <c r="G7" s="437"/>
      <c r="H7" s="246" t="s">
        <v>35</v>
      </c>
      <c r="L7" s="280"/>
      <c r="M7" s="267" t="s">
        <v>43</v>
      </c>
      <c r="N7" s="269">
        <f>G14+H14/60</f>
        <v>63.47</v>
      </c>
      <c r="O7" s="270"/>
      <c r="P7" s="269">
        <f>G22+H22/60</f>
        <v>60.376666666666665</v>
      </c>
      <c r="Q7" s="270"/>
      <c r="S7" s="285">
        <v>1</v>
      </c>
      <c r="T7" s="286">
        <v>0.3</v>
      </c>
      <c r="V7" s="360" t="s">
        <v>94</v>
      </c>
      <c r="W7" s="354">
        <f>RADIANS(W6)</f>
        <v>0.48345620280242946</v>
      </c>
      <c r="X7" s="357"/>
      <c r="Y7" s="358"/>
      <c r="AA7" s="89"/>
      <c r="AB7" s="90"/>
      <c r="AC7" s="342"/>
      <c r="AD7" s="92"/>
      <c r="AE7" s="120"/>
      <c r="AF7" s="89"/>
      <c r="AG7" s="90"/>
      <c r="AH7" s="91"/>
      <c r="AI7" s="122"/>
      <c r="AJ7" s="120"/>
      <c r="AK7" s="89"/>
      <c r="AL7" s="90"/>
      <c r="AM7" s="91"/>
      <c r="AN7" s="92"/>
      <c r="AQ7" s="442" t="s">
        <v>65</v>
      </c>
      <c r="AR7" s="443"/>
      <c r="AS7" s="443"/>
      <c r="AT7" s="164">
        <f>K17</f>
        <v>0</v>
      </c>
      <c r="AU7" s="165"/>
      <c r="AV7" s="166"/>
    </row>
    <row r="8" spans="2:51" ht="20" customHeight="1" thickBot="1">
      <c r="B8" s="241" t="s">
        <v>32</v>
      </c>
      <c r="C8" s="242" t="s">
        <v>82</v>
      </c>
      <c r="D8" s="243"/>
      <c r="E8" s="243"/>
      <c r="F8" s="244" t="s">
        <v>5</v>
      </c>
      <c r="G8" s="247">
        <v>2.5</v>
      </c>
      <c r="H8" s="248" t="s">
        <v>15</v>
      </c>
      <c r="L8" s="281"/>
      <c r="M8" s="268" t="s">
        <v>44</v>
      </c>
      <c r="N8" s="271">
        <f>16-(55*TAN(RADIANS(90-N7))/60-55/1000*(TAN(RADIANS(90-N7)))^3/60+1.777*SQRT(G8))</f>
        <v>12.732797783134325</v>
      </c>
      <c r="O8" s="272"/>
      <c r="P8" s="271">
        <f>16-(55*TAN(RADIANS(90-P7))/60-55/1000*(TAN(RADIANS(90-P7)))^3/60+1.777*SQRT(G8))</f>
        <v>12.669251792344504</v>
      </c>
      <c r="Q8" s="272"/>
      <c r="S8" s="287">
        <f>1+S7</f>
        <v>2</v>
      </c>
      <c r="T8" s="288">
        <v>0.2</v>
      </c>
      <c r="V8" s="304" t="s">
        <v>53</v>
      </c>
      <c r="W8" s="305">
        <f>DEGREES(X8)</f>
        <v>145.00888298563342</v>
      </c>
      <c r="X8" s="306">
        <f>IF(dira = "E",ACOS((SIN(deka)-SIN(hma)*SIN(W7))/(COS(hma)*COS(W7))),(2*PI()-ACOS((SIN(deka)-SIN(hma)*SIN(W7))/(COS(hma)*COS(W7)))))</f>
        <v>2.5308824527384881</v>
      </c>
      <c r="Y8" s="307" t="s">
        <v>54</v>
      </c>
      <c r="AA8" s="341">
        <f t="shared" ref="AA8:AA39" si="0">RADIANS(AB8)</f>
        <v>8.7266462599716474E-2</v>
      </c>
      <c r="AB8" s="337">
        <f>IF( Q40&gt;0,INT(Q40),ROUNDUP(Q40,0))</f>
        <v>5</v>
      </c>
      <c r="AC8" s="343">
        <f>IFERROR(ABS((DEGREES(ACOS((SIN(hma)-SIN(deka)*SIN(AA8))/(COS(deka)*COS(AA8)))+IF(EW=TRUE,1,-1)*ACOS((SIN(hmb)-SIN(dekb)*SIN(AA8))/(COS(dekb)*COS(AA8)))))/15)-dt,-$AC$8)</f>
        <v>1.3898668062978325</v>
      </c>
      <c r="AD8" s="110">
        <f>IF(AC8*AC9&lt;0,TRUE,0)</f>
        <v>0</v>
      </c>
      <c r="AE8" s="120"/>
      <c r="AF8" s="341">
        <f t="shared" ref="AF8:AF30" si="1">RADIANS(AG8)</f>
        <v>0.46949356878647464</v>
      </c>
      <c r="AG8" s="339">
        <f>ROUNDDOWN(DGET(AB6:AD59,1,AK33:AK34),0)+IF($C$8="N",-0.1,0.1)</f>
        <v>26.9</v>
      </c>
      <c r="AH8" s="344">
        <f t="shared" ref="AH8:AH30" si="2">IFERROR(ABS((DEGREES(ACOS((SIN(hma)-SIN(deka)*SIN(AF8))/(COS(deka)*COS(AF8)))+IF(EW=TRUE,1,-1)*ACOS((SIN(hmb)-SIN(dekb)*SIN(AF8))/(COS(dekb)*COS(AF8)))))/15)-dt,-$AH$8)</f>
        <v>0.13920597769793819</v>
      </c>
      <c r="AI8" s="110">
        <f t="shared" ref="AI8:AI58" si="3">IF(AH8*AH9&lt;0,TRUE,0)</f>
        <v>0</v>
      </c>
      <c r="AJ8" s="120"/>
      <c r="AK8" s="341">
        <f>RADIANS(AL8)</f>
        <v>0.47987827783584092</v>
      </c>
      <c r="AL8" s="339">
        <f>ROUNDDOWN(DGET(AG33:AI59,1,AK33:AK34),2)+IF($C$8="N",-0.005,0.005)</f>
        <v>27.495000000000001</v>
      </c>
      <c r="AM8" s="345">
        <f>ABS((DEGREES(ACOS((SIN(hmav)-SIN(deka)*SIN(AK8))/(COS(deka)*COS(AK8)))+IF(EW=TRUE,1,-1)*ACOS((SIN(hmb)-SIN(dekb)*SIN(AK8))/(COS(dekb)*COS(AK8)))))/15)-dt</f>
        <v>5.515694304974339E-3</v>
      </c>
      <c r="AN8" s="110">
        <f>IF(AM8*AM9&lt;0,TRUE,0)</f>
        <v>0</v>
      </c>
      <c r="AO8" s="87"/>
      <c r="AQ8" s="444" t="s">
        <v>66</v>
      </c>
      <c r="AR8" s="445"/>
      <c r="AS8" s="445"/>
      <c r="AT8" s="167">
        <f>E17</f>
        <v>0</v>
      </c>
      <c r="AU8" s="168" t="s">
        <v>67</v>
      </c>
      <c r="AV8" s="169" t="s">
        <v>12</v>
      </c>
    </row>
    <row r="9" spans="2:51" ht="20" customHeight="1">
      <c r="C9" s="22"/>
      <c r="D9" s="22"/>
      <c r="E9" s="22"/>
      <c r="F9" s="22"/>
      <c r="G9" s="22"/>
      <c r="H9" s="264"/>
      <c r="L9" s="281"/>
      <c r="M9" s="268" t="s">
        <v>45</v>
      </c>
      <c r="N9" s="273">
        <f>IF(H6="U",DGET(S6:T18,2,T19:T20),IF(H6="O",-(32+DGET(S6:T18,2,T19:T20)),#N/A))</f>
        <v>0</v>
      </c>
      <c r="O9" s="272"/>
      <c r="P9" s="273">
        <f>IF(H7="U",DGET(S6:T18,2,T19:T20),IF(H7="O",-(32+DGET(S6:T18,2,T19:T20)),#N/A))</f>
        <v>0</v>
      </c>
      <c r="Q9" s="272"/>
      <c r="S9" s="287">
        <f t="shared" ref="S9:S18" si="4">1+S8</f>
        <v>3</v>
      </c>
      <c r="T9" s="288">
        <v>0.1</v>
      </c>
      <c r="V9" s="138" t="s">
        <v>55</v>
      </c>
      <c r="W9" s="139">
        <f>DEGREES(X9)</f>
        <v>0.24539582508064611</v>
      </c>
      <c r="X9" s="140">
        <f>RADIANS(_d/60)*COS(aza-RADIANS(_c))</f>
        <v>4.2829651183053539E-3</v>
      </c>
      <c r="Y9" s="137" t="s">
        <v>87</v>
      </c>
      <c r="AA9" s="341">
        <f t="shared" si="0"/>
        <v>0.12217304763960307</v>
      </c>
      <c r="AB9" s="338">
        <f t="shared" ref="AB9:AB40" si="5">IF(AB8&gt;77,78,IF(AB8&lt;-77,-78,IF($C$8="N",AB8+2,IF($C$8="S",AB8-2,#N/A))))</f>
        <v>7</v>
      </c>
      <c r="AC9" s="343">
        <f>IFERROR(ABS((DEGREES(ACOS((SIN(hma)-SIN(deka)*SIN(AA9))/(COS(deka)*COS(AA9)))+IF(EW=TRUE,1,-1)*ACOS((SIN(hmb)-SIN(dekb)*SIN(AA9))/(COS(dekb)*COS(AA9)))))/15)-dt,-$AC$8)</f>
        <v>1.3917671168222694</v>
      </c>
      <c r="AD9" s="110">
        <f t="shared" ref="AD9:AD39" si="6">IF(AC9*AC10&lt;0,TRUE,0)</f>
        <v>0</v>
      </c>
      <c r="AE9" s="120"/>
      <c r="AF9" s="341">
        <f t="shared" si="1"/>
        <v>0.47123889803846897</v>
      </c>
      <c r="AG9" s="340">
        <f t="shared" ref="AG9:AG30" si="7">IF(AG8&gt;77,78,IF(AG8&lt;-77,-78,IF($C$8="N",AG8+0.1,IF($C$8="S",AG8-0.1,#N/A))))</f>
        <v>27</v>
      </c>
      <c r="AH9" s="344">
        <f>IFERROR(ABS((DEGREES(ACOS((SIN(hma)-SIN(deka)*SIN(AF9))/(COS(deka)*COS(AF9)))+IF(EW=TRUE,1,-1)*ACOS((SIN(hmb)-SIN(dekb)*SIN(AF9))/(COS(dekb)*COS(AF9)))))/15)-dt,-$AH$8)</f>
        <v>0.12266044122467967</v>
      </c>
      <c r="AI9" s="110">
        <f t="shared" si="3"/>
        <v>0</v>
      </c>
      <c r="AJ9" s="120"/>
      <c r="AK9" s="341">
        <f>RADIANS(AL9)</f>
        <v>0.48000045088348053</v>
      </c>
      <c r="AL9" s="340">
        <f t="shared" ref="AL9:AL29" si="8">IF($C$8="N",AL8+0.007,IF($C$8="S",AL8-0.007,#N/A))</f>
        <v>27.502000000000002</v>
      </c>
      <c r="AM9" s="345">
        <f>IFERROR(ABS((DEGREES(ACOS((SIN(hmav)-SIN(deka)*SIN(AK9))/(COS(deka)*COS(AK9)))+IF(EW=TRUE,1,-1)*ACOS((SIN(hmb)-SIN(dekb)*SIN(AK9))/(COS(dekb)*COS(AK9)))))/15)-dt,-$AM$8)</f>
        <v>4.2412932248749868E-3</v>
      </c>
      <c r="AN9" s="110">
        <f>IF(AM9*AM10&lt;0,TRUE,0)</f>
        <v>0</v>
      </c>
      <c r="AO9" s="88"/>
      <c r="AQ9" s="444" t="s">
        <v>68</v>
      </c>
      <c r="AR9" s="445"/>
      <c r="AS9" s="445"/>
      <c r="AT9" s="39">
        <f>IF(_c&lt;90,_d*SIN(RADIANS(90-_c)),IF(AND(_c&gt;90,_c&lt;180),-_d*SIN(RADIANS(_c-90)),IF(AND(_c&gt;180,_c&lt;270),-_d*SIN(RADIANS(270-_c)),_d*SIN(RADIANS(_c-270)))))</f>
        <v>-16.935309867559674</v>
      </c>
      <c r="AU9" s="170" t="s">
        <v>67</v>
      </c>
      <c r="AV9" s="171">
        <f>AT9/60</f>
        <v>-0.28225516445932791</v>
      </c>
    </row>
    <row r="10" spans="2:51" ht="20" customHeight="1" thickBot="1">
      <c r="L10" s="281"/>
      <c r="M10" s="268" t="s">
        <v>46</v>
      </c>
      <c r="N10" s="273">
        <f>C6</f>
        <v>1.5</v>
      </c>
      <c r="O10" s="272"/>
      <c r="P10" s="273">
        <f>C7</f>
        <v>1.5</v>
      </c>
      <c r="Q10" s="272"/>
      <c r="S10" s="287">
        <f t="shared" si="4"/>
        <v>4</v>
      </c>
      <c r="T10" s="288">
        <v>0</v>
      </c>
      <c r="V10" s="141" t="s">
        <v>56</v>
      </c>
      <c r="W10" s="308">
        <f>DEGREES(X10)</f>
        <v>63.95260912146621</v>
      </c>
      <c r="X10" s="142">
        <f>X9+hma</f>
        <v>1.1161835944105436</v>
      </c>
      <c r="Y10" s="143" t="s">
        <v>57</v>
      </c>
      <c r="AA10" s="341">
        <f t="shared" si="0"/>
        <v>0.15707963267948966</v>
      </c>
      <c r="AB10" s="338">
        <f t="shared" si="5"/>
        <v>9</v>
      </c>
      <c r="AC10" s="343">
        <f t="shared" ref="AC10:AC39" si="9">IFERROR(ABS((DEGREES(ACOS((SIN(hma)-SIN(deka)*SIN(AA10))/(COS(deka)*COS(AA10)))+IF(EW=TRUE,1,-1)*ACOS((SIN(hmb)-SIN(dekb)*SIN(AA10))/(COS(dekb)*COS(AA10)))))/15)-dt,-$AC$8)</f>
        <v>1.3757410491650006</v>
      </c>
      <c r="AD10" s="110">
        <f t="shared" si="6"/>
        <v>0</v>
      </c>
      <c r="AE10" s="120"/>
      <c r="AF10" s="341">
        <f t="shared" si="1"/>
        <v>0.47298422729046335</v>
      </c>
      <c r="AG10" s="340">
        <f t="shared" si="7"/>
        <v>27.1</v>
      </c>
      <c r="AH10" s="344">
        <f t="shared" si="2"/>
        <v>0.10589135193591748</v>
      </c>
      <c r="AI10" s="110">
        <f t="shared" si="3"/>
        <v>0</v>
      </c>
      <c r="AJ10" s="120"/>
      <c r="AK10" s="341">
        <f t="shared" ref="AK10:AK30" si="10">RADIANS(AL10)</f>
        <v>0.48012262393112021</v>
      </c>
      <c r="AL10" s="340">
        <f t="shared" si="8"/>
        <v>27.509000000000004</v>
      </c>
      <c r="AM10" s="345">
        <f t="shared" ref="AM10:AM30" si="11">IFERROR(ABS((DEGREES(ACOS((SIN(hmav)-SIN(deka)*SIN(AK10))/(COS(deka)*COS(AK10)))+IF(EW=TRUE,1,-1)*ACOS((SIN(hmb)-SIN(dekb)*SIN(AK10))/(COS(dekb)*COS(AK10)))))/15)-dt,-$AM$8)</f>
        <v>2.9655788253615256E-3</v>
      </c>
      <c r="AN10" s="110">
        <f t="shared" ref="AN10:AN29" si="12">IF(AM10*AM11&lt;0,TRUE,0)</f>
        <v>0</v>
      </c>
      <c r="AO10" s="88"/>
      <c r="AQ10" s="446" t="s">
        <v>69</v>
      </c>
      <c r="AR10" s="447"/>
      <c r="AS10" s="447"/>
      <c r="AT10" s="172">
        <f>IF(_c&lt;90,_d*COS(RADIANS(90-_c)),IF(AND(_c&gt;90,_c&lt;179.99999),_d*COS(RADIANS(_c-90)),IF(AND(_c&gt;179.99999,_c&lt;269.00001),-_d*COS(RADIANS(270-_c)),-_d*COS(RADIANS(_c-270)))))</f>
        <v>1.4816476267101883</v>
      </c>
      <c r="AU10" s="173" t="s">
        <v>67</v>
      </c>
      <c r="AV10" s="174">
        <f>AT10/60/COS(Breite)</f>
        <v>2.784610250907733E-2</v>
      </c>
    </row>
    <row r="11" spans="2:51" ht="20" customHeight="1">
      <c r="B11" s="256" t="s">
        <v>0</v>
      </c>
      <c r="C11" s="24"/>
      <c r="D11" s="24"/>
      <c r="E11" s="22"/>
      <c r="F11" s="22"/>
      <c r="G11" s="25"/>
      <c r="H11" s="25"/>
      <c r="L11" s="281"/>
      <c r="M11" s="268" t="s">
        <v>49</v>
      </c>
      <c r="N11" s="274">
        <f>N7+(N8+N9+N10)/60</f>
        <v>63.707213296385568</v>
      </c>
      <c r="O11" s="275" t="s">
        <v>29</v>
      </c>
      <c r="P11" s="274">
        <f>P7+(P8+P9+P10)/60</f>
        <v>60.612820863205741</v>
      </c>
      <c r="Q11" s="275" t="s">
        <v>30</v>
      </c>
      <c r="S11" s="287">
        <f t="shared" si="4"/>
        <v>5</v>
      </c>
      <c r="T11" s="288">
        <v>-0.2</v>
      </c>
      <c r="AA11" s="341">
        <f t="shared" si="0"/>
        <v>0.19198621771937624</v>
      </c>
      <c r="AB11" s="338">
        <f t="shared" si="5"/>
        <v>11</v>
      </c>
      <c r="AC11" s="343">
        <f t="shared" si="9"/>
        <v>1.3412589278991409</v>
      </c>
      <c r="AD11" s="110">
        <f t="shared" si="6"/>
        <v>0</v>
      </c>
      <c r="AE11" s="120"/>
      <c r="AF11" s="341">
        <f t="shared" si="1"/>
        <v>0.47472955654245769</v>
      </c>
      <c r="AG11" s="340">
        <f t="shared" si="7"/>
        <v>27.200000000000003</v>
      </c>
      <c r="AH11" s="344">
        <f t="shared" si="2"/>
        <v>8.8893120760122013E-2</v>
      </c>
      <c r="AI11" s="110">
        <f t="shared" si="3"/>
        <v>0</v>
      </c>
      <c r="AJ11" s="120"/>
      <c r="AK11" s="341">
        <f t="shared" si="10"/>
        <v>0.48024479697875982</v>
      </c>
      <c r="AL11" s="340">
        <f t="shared" si="8"/>
        <v>27.516000000000005</v>
      </c>
      <c r="AM11" s="345">
        <f t="shared" si="11"/>
        <v>1.6885484273720941E-3</v>
      </c>
      <c r="AN11" s="110">
        <f t="shared" si="12"/>
        <v>0</v>
      </c>
      <c r="AO11" s="88"/>
    </row>
    <row r="12" spans="2:51" ht="20" customHeight="1">
      <c r="B12" s="251" t="s">
        <v>1</v>
      </c>
      <c r="C12" s="252"/>
      <c r="D12" s="45"/>
      <c r="E12" s="45"/>
      <c r="F12" s="253" t="str">
        <f xml:space="preserve"> IF(ISNUMBER(G12)=FALSE,"Datumsangabe korrigieren !!! ",IF((YEAR(G12)-H2=0)=FALSE,"falsches Jahr !!! ","TT.MM.JJ"))</f>
        <v>TT.MM.JJ</v>
      </c>
      <c r="G12" s="432">
        <v>44289</v>
      </c>
      <c r="H12" s="433"/>
      <c r="L12" s="281"/>
      <c r="M12" s="268" t="s">
        <v>50</v>
      </c>
      <c r="N12" s="276">
        <f>INT(N11)</f>
        <v>63</v>
      </c>
      <c r="O12" s="277">
        <f>(N11-N12)*60</f>
        <v>42.432797783134077</v>
      </c>
      <c r="P12" s="276">
        <f>INT(P11)</f>
        <v>60</v>
      </c>
      <c r="Q12" s="277">
        <f>(P11-P12)*60</f>
        <v>36.769251792344448</v>
      </c>
      <c r="S12" s="287">
        <f t="shared" si="4"/>
        <v>6</v>
      </c>
      <c r="T12" s="288">
        <v>-0.2</v>
      </c>
      <c r="AA12" s="341">
        <f t="shared" si="0"/>
        <v>0.22689280275926285</v>
      </c>
      <c r="AB12" s="338">
        <f t="shared" si="5"/>
        <v>13</v>
      </c>
      <c r="AC12" s="343">
        <f t="shared" si="9"/>
        <v>1.2873897223273238</v>
      </c>
      <c r="AD12" s="110">
        <f t="shared" si="6"/>
        <v>0</v>
      </c>
      <c r="AE12" s="120"/>
      <c r="AF12" s="341">
        <f t="shared" si="1"/>
        <v>0.47647488579445202</v>
      </c>
      <c r="AG12" s="340">
        <f t="shared" si="7"/>
        <v>27.300000000000004</v>
      </c>
      <c r="AH12" s="344">
        <f t="shared" si="2"/>
        <v>7.1659887691083224E-2</v>
      </c>
      <c r="AI12" s="110">
        <f t="shared" si="3"/>
        <v>0</v>
      </c>
      <c r="AJ12" s="120"/>
      <c r="AK12" s="341">
        <f t="shared" si="10"/>
        <v>0.48036697002639944</v>
      </c>
      <c r="AL12" s="340">
        <f t="shared" si="8"/>
        <v>27.523000000000007</v>
      </c>
      <c r="AM12" s="345">
        <f t="shared" si="11"/>
        <v>4.1019934142649817E-4</v>
      </c>
      <c r="AN12" s="110" t="b">
        <f t="shared" si="12"/>
        <v>1</v>
      </c>
      <c r="AO12" s="88"/>
    </row>
    <row r="13" spans="2:51" ht="20" customHeight="1" thickBot="1">
      <c r="B13" s="251" t="s">
        <v>2</v>
      </c>
      <c r="C13" s="252"/>
      <c r="D13" s="45"/>
      <c r="E13" s="45"/>
      <c r="F13" s="253" t="str">
        <f>IF(ISNUMBER(G13)=TRUE,"hh:mm:ss"," Syntax !!! ")</f>
        <v>hh:mm:ss</v>
      </c>
      <c r="G13" s="428">
        <v>0.42509259259259258</v>
      </c>
      <c r="H13" s="429"/>
      <c r="I13" s="31"/>
      <c r="J13" s="31"/>
      <c r="L13" s="282"/>
      <c r="M13" s="266" t="s">
        <v>47</v>
      </c>
      <c r="N13" s="278">
        <f>RADIANS(N11)</f>
        <v>1.1119006292922382</v>
      </c>
      <c r="O13" s="279" t="s">
        <v>11</v>
      </c>
      <c r="P13" s="278">
        <f>RADIANS(P11)</f>
        <v>1.0578932929844518</v>
      </c>
      <c r="Q13" s="279" t="s">
        <v>13</v>
      </c>
      <c r="S13" s="287">
        <f>1+S12</f>
        <v>7</v>
      </c>
      <c r="T13" s="288">
        <v>-0.2</v>
      </c>
      <c r="AA13" s="341">
        <f t="shared" si="0"/>
        <v>0.26179938779914941</v>
      </c>
      <c r="AB13" s="338">
        <f t="shared" si="5"/>
        <v>15</v>
      </c>
      <c r="AC13" s="343">
        <f t="shared" si="9"/>
        <v>1.2127234747878015</v>
      </c>
      <c r="AD13" s="110">
        <f t="shared" si="6"/>
        <v>0</v>
      </c>
      <c r="AE13" s="120"/>
      <c r="AF13" s="341">
        <f t="shared" si="1"/>
        <v>0.47822021504644641</v>
      </c>
      <c r="AG13" s="340">
        <f t="shared" si="7"/>
        <v>27.400000000000006</v>
      </c>
      <c r="AH13" s="344">
        <f t="shared" si="2"/>
        <v>5.4185502078511583E-2</v>
      </c>
      <c r="AI13" s="110">
        <f t="shared" si="3"/>
        <v>0</v>
      </c>
      <c r="AJ13" s="120"/>
      <c r="AK13" s="341">
        <f t="shared" si="10"/>
        <v>0.48048914307403906</v>
      </c>
      <c r="AL13" s="340">
        <f t="shared" si="8"/>
        <v>27.530000000000008</v>
      </c>
      <c r="AM13" s="345">
        <f t="shared" si="11"/>
        <v>-8.6947113244040253E-4</v>
      </c>
      <c r="AN13" s="110">
        <f t="shared" si="12"/>
        <v>0</v>
      </c>
      <c r="AO13" s="88"/>
      <c r="AQ13" s="29" t="s">
        <v>70</v>
      </c>
      <c r="AT13" s="175"/>
      <c r="AU13" s="175"/>
      <c r="AV13" s="176" t="s">
        <v>71</v>
      </c>
      <c r="AW13" s="177">
        <f>ABS(H29)/40</f>
        <v>2.5000000000000001E-2</v>
      </c>
      <c r="AY13" s="178"/>
    </row>
    <row r="14" spans="2:51" ht="20" customHeight="1" thickBot="1">
      <c r="B14" s="251" t="s">
        <v>4</v>
      </c>
      <c r="C14" s="440" t="str">
        <f>IF(G14&lt;10,"!!! minimale Höhe 10° !!!"," ")</f>
        <v xml:space="preserve"> </v>
      </c>
      <c r="D14" s="440"/>
      <c r="E14" s="440"/>
      <c r="F14" s="441"/>
      <c r="G14" s="46">
        <v>63</v>
      </c>
      <c r="H14" s="60">
        <v>28.2</v>
      </c>
      <c r="O14" s="114"/>
      <c r="P14" s="113"/>
      <c r="S14" s="287">
        <f t="shared" si="4"/>
        <v>8</v>
      </c>
      <c r="T14" s="288">
        <v>-0.2</v>
      </c>
      <c r="AA14" s="341">
        <f t="shared" si="0"/>
        <v>0.29670597283903605</v>
      </c>
      <c r="AB14" s="338">
        <f t="shared" si="5"/>
        <v>17</v>
      </c>
      <c r="AC14" s="343">
        <f t="shared" si="9"/>
        <v>1.1152391333858285</v>
      </c>
      <c r="AD14" s="110">
        <f t="shared" si="6"/>
        <v>0</v>
      </c>
      <c r="AE14" s="120"/>
      <c r="AF14" s="341">
        <f t="shared" si="1"/>
        <v>0.47996554429844074</v>
      </c>
      <c r="AG14" s="340">
        <f t="shared" si="7"/>
        <v>27.500000000000007</v>
      </c>
      <c r="AH14" s="344">
        <f t="shared" si="2"/>
        <v>3.646350097166362E-2</v>
      </c>
      <c r="AI14" s="110">
        <f t="shared" si="3"/>
        <v>0</v>
      </c>
      <c r="AJ14" s="120"/>
      <c r="AK14" s="341">
        <f t="shared" si="10"/>
        <v>0.48061131612167868</v>
      </c>
      <c r="AL14" s="340">
        <f t="shared" si="8"/>
        <v>27.53700000000001</v>
      </c>
      <c r="AM14" s="345">
        <f t="shared" si="11"/>
        <v>-2.1504657047279885E-3</v>
      </c>
      <c r="AN14" s="110">
        <f t="shared" si="12"/>
        <v>0</v>
      </c>
      <c r="AO14" s="88"/>
      <c r="AQ14" s="179"/>
      <c r="AR14" s="178"/>
      <c r="AS14" s="178"/>
      <c r="AT14" s="178"/>
      <c r="AU14" s="178"/>
      <c r="AV14" s="180"/>
      <c r="AW14" s="181"/>
      <c r="AX14" s="182"/>
      <c r="AY14" s="178"/>
    </row>
    <row r="15" spans="2:51" ht="20" customHeight="1" thickBot="1">
      <c r="B15" s="26"/>
      <c r="C15" s="26"/>
      <c r="D15" s="26"/>
      <c r="E15" s="47" t="str">
        <f>IF(NOT(INT(G14)=G14),"EINGABEFEHLER!  ","")</f>
        <v/>
      </c>
      <c r="F15" s="47"/>
      <c r="G15" s="44"/>
      <c r="H15" s="44"/>
      <c r="I15" s="15"/>
      <c r="J15" s="15"/>
      <c r="Q15" s="127"/>
      <c r="S15" s="287">
        <f t="shared" si="4"/>
        <v>9</v>
      </c>
      <c r="T15" s="288">
        <v>-0.1</v>
      </c>
      <c r="AA15" s="341">
        <f t="shared" si="0"/>
        <v>0.33161255787892263</v>
      </c>
      <c r="AB15" s="338">
        <f t="shared" si="5"/>
        <v>19</v>
      </c>
      <c r="AC15" s="343">
        <f t="shared" si="9"/>
        <v>0.99208365313406199</v>
      </c>
      <c r="AD15" s="110">
        <f t="shared" si="6"/>
        <v>0</v>
      </c>
      <c r="AE15" s="120"/>
      <c r="AF15" s="341">
        <f t="shared" si="1"/>
        <v>0.48171087355043513</v>
      </c>
      <c r="AG15" s="340">
        <f t="shared" si="7"/>
        <v>27.600000000000009</v>
      </c>
      <c r="AH15" s="344">
        <f t="shared" si="2"/>
        <v>1.848708527104348E-2</v>
      </c>
      <c r="AI15" s="110">
        <f t="shared" si="3"/>
        <v>0</v>
      </c>
      <c r="AJ15" s="120"/>
      <c r="AK15" s="341">
        <f t="shared" si="10"/>
        <v>0.48073348916931835</v>
      </c>
      <c r="AL15" s="340">
        <f t="shared" si="8"/>
        <v>27.544000000000011</v>
      </c>
      <c r="AM15" s="345">
        <f t="shared" si="11"/>
        <v>-3.4327870965382701E-3</v>
      </c>
      <c r="AN15" s="110">
        <f t="shared" si="12"/>
        <v>0</v>
      </c>
      <c r="AO15" s="88"/>
      <c r="AQ15" s="183" t="s">
        <v>9</v>
      </c>
      <c r="AR15" s="184" t="s">
        <v>72</v>
      </c>
      <c r="AS15" s="185" t="s">
        <v>73</v>
      </c>
      <c r="AT15" s="185" t="s">
        <v>74</v>
      </c>
      <c r="AU15" s="185" t="s">
        <v>75</v>
      </c>
      <c r="AV15" s="186" t="s">
        <v>76</v>
      </c>
      <c r="AW15" s="186" t="s">
        <v>77</v>
      </c>
      <c r="AX15" s="187" t="s">
        <v>78</v>
      </c>
      <c r="AY15" s="188" t="s">
        <v>79</v>
      </c>
    </row>
    <row r="16" spans="2:51" ht="20" customHeight="1">
      <c r="B16" s="256" t="s">
        <v>6</v>
      </c>
      <c r="C16" s="64"/>
      <c r="D16" s="63"/>
      <c r="E16" s="25"/>
      <c r="F16" s="25"/>
      <c r="G16" s="25"/>
      <c r="H16" s="22"/>
      <c r="N16" s="5"/>
      <c r="S16" s="287">
        <f t="shared" si="4"/>
        <v>10</v>
      </c>
      <c r="T16" s="288">
        <v>0.1</v>
      </c>
      <c r="AA16" s="341">
        <f t="shared" si="0"/>
        <v>0.36651914291880922</v>
      </c>
      <c r="AB16" s="338">
        <f t="shared" si="5"/>
        <v>21</v>
      </c>
      <c r="AC16" s="343">
        <f t="shared" si="9"/>
        <v>0.83919246280292104</v>
      </c>
      <c r="AD16" s="110">
        <f t="shared" si="6"/>
        <v>0</v>
      </c>
      <c r="AE16" s="120"/>
      <c r="AF16" s="341">
        <f t="shared" si="1"/>
        <v>0.48345620280242946</v>
      </c>
      <c r="AG16" s="340">
        <f t="shared" si="7"/>
        <v>27.70000000000001</v>
      </c>
      <c r="AH16" s="344">
        <f t="shared" si="2"/>
        <v>2.4909340511092282E-4</v>
      </c>
      <c r="AI16" s="110" t="b">
        <f t="shared" si="3"/>
        <v>1</v>
      </c>
      <c r="AJ16" s="120"/>
      <c r="AK16" s="341">
        <f t="shared" si="10"/>
        <v>0.48085566221695797</v>
      </c>
      <c r="AL16" s="340">
        <f t="shared" si="8"/>
        <v>27.551000000000013</v>
      </c>
      <c r="AM16" s="345">
        <f t="shared" si="11"/>
        <v>-4.716438039642501E-3</v>
      </c>
      <c r="AN16" s="110">
        <f t="shared" si="12"/>
        <v>0</v>
      </c>
      <c r="AQ16" s="189"/>
      <c r="AR16" s="190"/>
      <c r="AS16" s="191"/>
      <c r="AT16" s="192"/>
      <c r="AU16" s="193"/>
      <c r="AV16" s="194"/>
      <c r="AW16" s="195"/>
      <c r="AX16" s="196"/>
      <c r="AY16" s="197"/>
    </row>
    <row r="17" spans="1:51" ht="20" customHeight="1">
      <c r="B17" s="251" t="s">
        <v>7</v>
      </c>
      <c r="C17" s="334">
        <v>17</v>
      </c>
      <c r="D17" s="50" t="s">
        <v>14</v>
      </c>
      <c r="E17" s="48"/>
      <c r="F17" s="51"/>
      <c r="G17" s="254" t="s">
        <v>8</v>
      </c>
      <c r="H17" s="335">
        <v>175</v>
      </c>
      <c r="K17" s="23"/>
      <c r="R17" s="291"/>
      <c r="S17" s="287">
        <f t="shared" si="4"/>
        <v>11</v>
      </c>
      <c r="T17" s="288">
        <v>0.2</v>
      </c>
      <c r="AA17" s="341">
        <f t="shared" si="0"/>
        <v>0.4014257279586958</v>
      </c>
      <c r="AB17" s="338">
        <f t="shared" si="5"/>
        <v>23</v>
      </c>
      <c r="AC17" s="343">
        <f t="shared" si="9"/>
        <v>0.65059648603843634</v>
      </c>
      <c r="AD17" s="110">
        <f t="shared" si="6"/>
        <v>0</v>
      </c>
      <c r="AE17" s="120"/>
      <c r="AF17" s="341">
        <f t="shared" si="1"/>
        <v>0.48520153205442379</v>
      </c>
      <c r="AG17" s="340">
        <f t="shared" si="7"/>
        <v>27.800000000000011</v>
      </c>
      <c r="AH17" s="344">
        <f t="shared" si="2"/>
        <v>-1.8258027795597709E-2</v>
      </c>
      <c r="AI17" s="110">
        <f t="shared" si="3"/>
        <v>0</v>
      </c>
      <c r="AJ17" s="120"/>
      <c r="AK17" s="341">
        <f t="shared" si="10"/>
        <v>0.48097783526459759</v>
      </c>
      <c r="AL17" s="340">
        <f t="shared" si="8"/>
        <v>27.558000000000014</v>
      </c>
      <c r="AM17" s="345">
        <f t="shared" si="11"/>
        <v>-6.0014212765215902E-3</v>
      </c>
      <c r="AN17" s="110">
        <f t="shared" si="12"/>
        <v>0</v>
      </c>
      <c r="AQ17" s="204">
        <f t="shared" ref="AQ17:AQ35" si="13">AQ18+$AW$13</f>
        <v>28.166371603263869</v>
      </c>
      <c r="AR17" s="198">
        <f t="shared" ref="AR17:AR57" si="14">RADIANS(AQ17)</f>
        <v>0.49159592281718856</v>
      </c>
      <c r="AS17" s="199">
        <f t="shared" ref="AS17:AS57" si="15">IFERROR(DEGREES(Grta+IF(dira="W",-1,1)*ACOS((SIN(hma)-SIN(deka)*SIN(AR17))/COS(deka)/COS(AR17))),#N/A)</f>
        <v>346.22644846037554</v>
      </c>
      <c r="AT17" s="200">
        <f t="shared" ref="AT17:AT57" si="16">IFERROR(DEGREES(grtb+IF(dirb="W",-1,1)*ACOS((SIN(hmb)-SIN(dekb)*SIN(AR17))/COS(dekb)/COS(AR17))),#N/A)</f>
        <v>-12.439014086677428</v>
      </c>
      <c r="AU17" s="201">
        <f t="shared" ref="AU17:AU57" si="17">IFERROR(DEGREES(Grta+IF(dira="W",-1,1)*ACOS((SIN(hmav)-SIN(deka)*SIN(AR17))/COS(deka)/COS(AR17))),#N/A)</f>
        <v>345.70723344922584</v>
      </c>
      <c r="AV17" s="199">
        <f>IFERROR(IF(AS17&lt;0,ABS(AS17),IF(AS17&gt;360,-(AS17-360),IF(AND(AS17&gt;180,AS17&lt;360),360-AS17,-AS17))),#N/A)</f>
        <v>13.773551539624464</v>
      </c>
      <c r="AW17" s="200">
        <f>IFERROR(IF(AT17&lt;0,ABS(AT17),IF(AT17&gt;360,-(AT17-360),IF(AND(AT17&gt;180,AT17&lt;360),360-AT17,-AT17))),#N/A)</f>
        <v>12.439014086677428</v>
      </c>
      <c r="AX17" s="202">
        <f>IF(AU17&lt;0,ABS(AU17),IF(AU17&gt;360,-(AU17-360),IF(AND(AU17&gt;180,AU17&lt;360),360-AU17,-AU17)))</f>
        <v>14.292766550774161</v>
      </c>
      <c r="AY17" s="203"/>
    </row>
    <row r="18" spans="1:51" ht="20" customHeight="1" thickBot="1">
      <c r="B18" s="22"/>
      <c r="C18" s="22"/>
      <c r="D18" s="22"/>
      <c r="E18" s="22"/>
      <c r="F18" s="22"/>
      <c r="G18" s="22"/>
      <c r="H18" s="22"/>
      <c r="S18" s="289">
        <f t="shared" si="4"/>
        <v>12</v>
      </c>
      <c r="T18" s="290">
        <v>0.3</v>
      </c>
      <c r="AA18" s="341">
        <f t="shared" si="0"/>
        <v>0.43633231299858238</v>
      </c>
      <c r="AB18" s="338">
        <f t="shared" si="5"/>
        <v>25</v>
      </c>
      <c r="AC18" s="343">
        <f t="shared" si="9"/>
        <v>0.41702822546126006</v>
      </c>
      <c r="AD18" s="110">
        <f t="shared" si="6"/>
        <v>0</v>
      </c>
      <c r="AE18" s="120"/>
      <c r="AF18" s="341">
        <f t="shared" si="1"/>
        <v>0.48694686130641818</v>
      </c>
      <c r="AG18" s="340">
        <f t="shared" si="7"/>
        <v>27.900000000000013</v>
      </c>
      <c r="AH18" s="344">
        <f t="shared" si="2"/>
        <v>-3.704225540775008E-2</v>
      </c>
      <c r="AI18" s="110">
        <f t="shared" si="3"/>
        <v>0</v>
      </c>
      <c r="AJ18" s="120"/>
      <c r="AK18" s="341">
        <f t="shared" si="10"/>
        <v>0.4811000083122372</v>
      </c>
      <c r="AL18" s="340">
        <f t="shared" si="8"/>
        <v>27.565000000000015</v>
      </c>
      <c r="AM18" s="345">
        <f t="shared" si="11"/>
        <v>-7.2877395604584727E-3</v>
      </c>
      <c r="AN18" s="110">
        <f t="shared" si="12"/>
        <v>0</v>
      </c>
      <c r="AQ18" s="204">
        <f t="shared" si="13"/>
        <v>28.14137160326387</v>
      </c>
      <c r="AR18" s="198">
        <f t="shared" si="14"/>
        <v>0.49115959050418995</v>
      </c>
      <c r="AS18" s="205">
        <f t="shared" si="15"/>
        <v>346.27012602192724</v>
      </c>
      <c r="AT18" s="206">
        <f t="shared" si="16"/>
        <v>-12.469135720437368</v>
      </c>
      <c r="AU18" s="207">
        <f t="shared" si="17"/>
        <v>345.7526778511197</v>
      </c>
      <c r="AV18" s="205">
        <f t="shared" ref="AV18:AW57" si="18">IFERROR(IF(AS18&lt;0,ABS(AS18),IF(AS18&gt;360,-(AS18-360),IF(AND(AS18&gt;180,AS18&lt;360),360-AS18,-AS18))),#N/A)</f>
        <v>13.72987397807276</v>
      </c>
      <c r="AW18" s="206">
        <f t="shared" si="18"/>
        <v>12.469135720437368</v>
      </c>
      <c r="AX18" s="208">
        <f t="shared" ref="AX18:AX57" si="19">IF(AU18&lt;0,ABS(AU18),IF(AU18&gt;360,-(AU18-360),IF(AND(AU18&gt;180,AU18&lt;360),360-AU18,-AU18)))</f>
        <v>14.247322148880301</v>
      </c>
      <c r="AY18" s="203"/>
    </row>
    <row r="19" spans="1:51" ht="20" customHeight="1">
      <c r="B19" s="256" t="s">
        <v>3</v>
      </c>
      <c r="C19" s="35"/>
      <c r="D19" s="35"/>
      <c r="E19" s="36"/>
      <c r="F19" s="36"/>
      <c r="G19" s="37"/>
      <c r="H19" s="1"/>
      <c r="S19" s="489" t="s">
        <v>153</v>
      </c>
      <c r="T19" s="129" t="s">
        <v>10</v>
      </c>
      <c r="AA19" s="341">
        <f t="shared" si="0"/>
        <v>0.47123889803846897</v>
      </c>
      <c r="AB19" s="338">
        <f t="shared" si="5"/>
        <v>27</v>
      </c>
      <c r="AC19" s="343">
        <f>IFERROR(ABS((DEGREES(ACOS((SIN(hma)-SIN(deka)*SIN(AA19))/(COS(deka)*COS(AA19)))+IF(EW=TRUE,1,-1)*ACOS((SIN(hmb)-SIN(dekb)*SIN(AA19))/(COS(dekb)*COS(AA19)))))/15)-dt,-$AC$8)</f>
        <v>0.12266044122467967</v>
      </c>
      <c r="AD19" s="110" t="b">
        <f t="shared" si="6"/>
        <v>1</v>
      </c>
      <c r="AE19" s="120"/>
      <c r="AF19" s="341">
        <f t="shared" si="1"/>
        <v>0.48869219055841251</v>
      </c>
      <c r="AG19" s="340">
        <f t="shared" si="7"/>
        <v>28.000000000000014</v>
      </c>
      <c r="AH19" s="344">
        <f t="shared" si="2"/>
        <v>-5.6112026352181488E-2</v>
      </c>
      <c r="AI19" s="110">
        <f t="shared" si="3"/>
        <v>0</v>
      </c>
      <c r="AJ19" s="120"/>
      <c r="AK19" s="341">
        <f t="shared" si="10"/>
        <v>0.48122218135987682</v>
      </c>
      <c r="AL19" s="340">
        <f t="shared" si="8"/>
        <v>27.572000000000017</v>
      </c>
      <c r="AM19" s="345">
        <f>IFERROR(ABS((DEGREES(ACOS((SIN(hmav)-SIN(deka)*SIN(AK19))/(COS(deka)*COS(AK19)))+IF(EW=TRUE,1,-1)*ACOS((SIN(hmb)-SIN(dekb)*SIN(AK19))/(COS(dekb)*COS(AK19)))))/15)-dt,-$AM$8)</f>
        <v>-8.575395655580742E-3</v>
      </c>
      <c r="AN19" s="110">
        <f t="shared" si="12"/>
        <v>0</v>
      </c>
      <c r="AQ19" s="204">
        <f t="shared" si="13"/>
        <v>28.116371603263872</v>
      </c>
      <c r="AR19" s="198">
        <f t="shared" si="14"/>
        <v>0.49072325819119139</v>
      </c>
      <c r="AS19" s="205">
        <f t="shared" si="15"/>
        <v>346.31360482786789</v>
      </c>
      <c r="AT19" s="206">
        <f t="shared" si="16"/>
        <v>-12.499167353001623</v>
      </c>
      <c r="AU19" s="207">
        <f t="shared" si="17"/>
        <v>345.79790424629709</v>
      </c>
      <c r="AV19" s="205">
        <f t="shared" si="18"/>
        <v>13.686395172132109</v>
      </c>
      <c r="AW19" s="206">
        <f t="shared" si="18"/>
        <v>12.499167353001623</v>
      </c>
      <c r="AX19" s="208">
        <f t="shared" si="19"/>
        <v>14.202095753702906</v>
      </c>
      <c r="AY19" s="203"/>
    </row>
    <row r="20" spans="1:51" ht="20" customHeight="1" thickBot="1">
      <c r="B20" s="251" t="s">
        <v>1</v>
      </c>
      <c r="C20" s="45"/>
      <c r="D20" s="366"/>
      <c r="E20" s="367"/>
      <c r="F20" s="45" t="str">
        <f>IF(G20-G12=1,"Folgetag "," ")</f>
        <v xml:space="preserve"> </v>
      </c>
      <c r="G20" s="430">
        <f>IF(_oz2&lt;_oz1,G12+1,G12)</f>
        <v>44289</v>
      </c>
      <c r="H20" s="431"/>
      <c r="S20" s="490"/>
      <c r="T20" s="130">
        <f>MONTH(G12)</f>
        <v>4</v>
      </c>
      <c r="AA20" s="341">
        <f t="shared" si="0"/>
        <v>0.50614548307835561</v>
      </c>
      <c r="AB20" s="338">
        <f t="shared" si="5"/>
        <v>29</v>
      </c>
      <c r="AC20" s="343">
        <f t="shared" si="9"/>
        <v>-0.26479702690931983</v>
      </c>
      <c r="AD20" s="110">
        <f t="shared" si="6"/>
        <v>0</v>
      </c>
      <c r="AE20" s="120"/>
      <c r="AF20" s="341">
        <f t="shared" si="1"/>
        <v>0.4904375198104069</v>
      </c>
      <c r="AG20" s="340">
        <f t="shared" si="7"/>
        <v>28.100000000000016</v>
      </c>
      <c r="AH20" s="344">
        <f t="shared" si="2"/>
        <v>-7.547627747877117E-2</v>
      </c>
      <c r="AI20" s="110">
        <f t="shared" si="3"/>
        <v>0</v>
      </c>
      <c r="AJ20" s="120"/>
      <c r="AK20" s="341">
        <f t="shared" si="10"/>
        <v>0.48134435440751644</v>
      </c>
      <c r="AL20" s="340">
        <f t="shared" si="8"/>
        <v>27.579000000000018</v>
      </c>
      <c r="AM20" s="345">
        <f t="shared" si="11"/>
        <v>-9.8643923369130526E-3</v>
      </c>
      <c r="AN20" s="110">
        <f t="shared" si="12"/>
        <v>0</v>
      </c>
      <c r="AQ20" s="204">
        <f t="shared" si="13"/>
        <v>28.091371603263873</v>
      </c>
      <c r="AR20" s="198">
        <f t="shared" si="14"/>
        <v>0.49028692587819284</v>
      </c>
      <c r="AS20" s="205">
        <f t="shared" si="15"/>
        <v>346.35688676345035</v>
      </c>
      <c r="AT20" s="206">
        <f t="shared" si="16"/>
        <v>-12.529109428813729</v>
      </c>
      <c r="AU20" s="207">
        <f t="shared" si="17"/>
        <v>345.84291485958073</v>
      </c>
      <c r="AV20" s="205">
        <f t="shared" si="18"/>
        <v>13.643113236549652</v>
      </c>
      <c r="AW20" s="206">
        <f t="shared" si="18"/>
        <v>12.529109428813729</v>
      </c>
      <c r="AX20" s="208">
        <f t="shared" si="19"/>
        <v>14.157085140419269</v>
      </c>
      <c r="AY20" s="203"/>
    </row>
    <row r="21" spans="1:51" ht="20" customHeight="1">
      <c r="B21" s="251" t="s">
        <v>2</v>
      </c>
      <c r="C21" s="252"/>
      <c r="D21" s="45"/>
      <c r="E21" s="45"/>
      <c r="F21" s="253" t="str">
        <f>IF(ISNUMBER(G21)=TRUE,"hh:mm:ss"," Syntax !!! ")</f>
        <v>hh:mm:ss</v>
      </c>
      <c r="G21" s="428">
        <v>0.52248842592592593</v>
      </c>
      <c r="H21" s="429"/>
      <c r="AA21" s="341">
        <f t="shared" si="0"/>
        <v>0.54105206811824214</v>
      </c>
      <c r="AB21" s="338">
        <f t="shared" si="5"/>
        <v>31</v>
      </c>
      <c r="AC21" s="343">
        <f t="shared" si="9"/>
        <v>-0.85010446548013596</v>
      </c>
      <c r="AD21" s="110">
        <f t="shared" si="6"/>
        <v>0</v>
      </c>
      <c r="AE21" s="120"/>
      <c r="AF21" s="341">
        <f t="shared" si="1"/>
        <v>0.49218284906240123</v>
      </c>
      <c r="AG21" s="340">
        <f t="shared" si="7"/>
        <v>28.200000000000017</v>
      </c>
      <c r="AH21" s="344">
        <f t="shared" si="2"/>
        <v>-9.5144490411045446E-2</v>
      </c>
      <c r="AI21" s="110">
        <f t="shared" si="3"/>
        <v>0</v>
      </c>
      <c r="AJ21" s="120"/>
      <c r="AK21" s="341">
        <f t="shared" si="10"/>
        <v>0.48146652745515611</v>
      </c>
      <c r="AL21" s="340">
        <f t="shared" si="8"/>
        <v>27.58600000000002</v>
      </c>
      <c r="AM21" s="345">
        <f t="shared" si="11"/>
        <v>-1.1154732390481481E-2</v>
      </c>
      <c r="AN21" s="110">
        <f t="shared" si="12"/>
        <v>0</v>
      </c>
      <c r="AQ21" s="204">
        <f t="shared" si="13"/>
        <v>28.066371603263875</v>
      </c>
      <c r="AR21" s="198">
        <f t="shared" si="14"/>
        <v>0.48985059356519428</v>
      </c>
      <c r="AS21" s="205">
        <f t="shared" si="15"/>
        <v>346.39997368255803</v>
      </c>
      <c r="AT21" s="206">
        <f t="shared" si="16"/>
        <v>-12.55896238835985</v>
      </c>
      <c r="AU21" s="207">
        <f t="shared" si="17"/>
        <v>345.88771187608842</v>
      </c>
      <c r="AV21" s="205">
        <f t="shared" si="18"/>
        <v>13.600026317441973</v>
      </c>
      <c r="AW21" s="206">
        <f t="shared" si="18"/>
        <v>12.55896238835985</v>
      </c>
      <c r="AX21" s="208">
        <f t="shared" si="19"/>
        <v>14.112288123911583</v>
      </c>
      <c r="AY21" s="203"/>
    </row>
    <row r="22" spans="1:51" ht="20" customHeight="1">
      <c r="B22" s="251" t="s">
        <v>4</v>
      </c>
      <c r="C22" s="440" t="str">
        <f>IF(G22&lt;10,"!!! minimale Höhe 10° !!!"," ")</f>
        <v xml:space="preserve"> </v>
      </c>
      <c r="D22" s="440"/>
      <c r="E22" s="440"/>
      <c r="F22" s="441"/>
      <c r="G22" s="46">
        <v>60</v>
      </c>
      <c r="H22" s="60">
        <v>22.6</v>
      </c>
      <c r="AA22" s="341">
        <f t="shared" si="0"/>
        <v>0.57595865315812877</v>
      </c>
      <c r="AB22" s="338">
        <f t="shared" si="5"/>
        <v>33</v>
      </c>
      <c r="AC22" s="343">
        <f t="shared" si="9"/>
        <v>-1.3898668062978325</v>
      </c>
      <c r="AD22" s="110">
        <f t="shared" si="6"/>
        <v>0</v>
      </c>
      <c r="AE22" s="120"/>
      <c r="AF22" s="341">
        <f t="shared" si="1"/>
        <v>0.49392817831439556</v>
      </c>
      <c r="AG22" s="340">
        <f t="shared" si="7"/>
        <v>28.300000000000018</v>
      </c>
      <c r="AH22" s="344">
        <f t="shared" si="2"/>
        <v>-0.1151267418730697</v>
      </c>
      <c r="AI22" s="110">
        <f t="shared" si="3"/>
        <v>0</v>
      </c>
      <c r="AJ22" s="120"/>
      <c r="AK22" s="341">
        <f t="shared" si="10"/>
        <v>0.48158870050279573</v>
      </c>
      <c r="AL22" s="340">
        <f t="shared" si="8"/>
        <v>27.593000000000021</v>
      </c>
      <c r="AM22" s="345">
        <f t="shared" si="11"/>
        <v>-1.2446418613324628E-2</v>
      </c>
      <c r="AN22" s="110">
        <f t="shared" si="12"/>
        <v>0</v>
      </c>
      <c r="AQ22" s="204">
        <f t="shared" si="13"/>
        <v>28.041371603263876</v>
      </c>
      <c r="AR22" s="198">
        <f t="shared" si="14"/>
        <v>0.48941426125219573</v>
      </c>
      <c r="AS22" s="205">
        <f t="shared" si="15"/>
        <v>346.44286740843836</v>
      </c>
      <c r="AT22" s="206">
        <f t="shared" si="16"/>
        <v>-12.588726668218479</v>
      </c>
      <c r="AU22" s="207">
        <f t="shared" si="17"/>
        <v>345.93229744222799</v>
      </c>
      <c r="AV22" s="205">
        <f t="shared" si="18"/>
        <v>13.55713259156164</v>
      </c>
      <c r="AW22" s="206">
        <f t="shared" si="18"/>
        <v>12.588726668218479</v>
      </c>
      <c r="AX22" s="208">
        <f t="shared" si="19"/>
        <v>14.067702557772009</v>
      </c>
      <c r="AY22" s="203"/>
    </row>
    <row r="23" spans="1:51" ht="20" customHeight="1">
      <c r="B23" s="22"/>
      <c r="C23" s="22"/>
      <c r="D23" s="22"/>
      <c r="E23" s="47" t="str">
        <f>IF(NOT(INT(G22)=G22),"EINGABEFEHLER!  ","")</f>
        <v/>
      </c>
      <c r="F23" s="47"/>
      <c r="G23" s="44"/>
      <c r="H23" s="44"/>
      <c r="L23" s="238"/>
      <c r="M23" s="238"/>
      <c r="N23" s="238"/>
      <c r="O23" s="238"/>
      <c r="P23" s="238"/>
      <c r="Q23" s="238"/>
      <c r="R23" s="238"/>
      <c r="S23" s="238"/>
      <c r="T23" s="238"/>
      <c r="U23" s="238"/>
      <c r="V23" s="238"/>
      <c r="W23" s="238"/>
      <c r="X23" s="238"/>
      <c r="Y23" s="238"/>
      <c r="AA23" s="341">
        <f t="shared" si="0"/>
        <v>0.6108652381980153</v>
      </c>
      <c r="AB23" s="338">
        <f t="shared" si="5"/>
        <v>35</v>
      </c>
      <c r="AC23" s="343">
        <f t="shared" si="9"/>
        <v>-1.3898668062978325</v>
      </c>
      <c r="AD23" s="110">
        <f t="shared" si="6"/>
        <v>0</v>
      </c>
      <c r="AE23" s="120"/>
      <c r="AF23" s="341">
        <f t="shared" si="1"/>
        <v>0.49567350756638995</v>
      </c>
      <c r="AG23" s="340">
        <f t="shared" si="7"/>
        <v>28.40000000000002</v>
      </c>
      <c r="AH23" s="344">
        <f t="shared" si="2"/>
        <v>-0.13543376035596122</v>
      </c>
      <c r="AI23" s="110">
        <f t="shared" si="3"/>
        <v>0</v>
      </c>
      <c r="AJ23" s="120"/>
      <c r="AK23" s="341">
        <f t="shared" si="10"/>
        <v>0.48171087355043535</v>
      </c>
      <c r="AL23" s="340">
        <f t="shared" si="8"/>
        <v>27.600000000000023</v>
      </c>
      <c r="AM23" s="345">
        <f t="shared" si="11"/>
        <v>-1.3739453813607749E-2</v>
      </c>
      <c r="AN23" s="110">
        <f t="shared" si="12"/>
        <v>0</v>
      </c>
      <c r="AQ23" s="204">
        <f t="shared" si="13"/>
        <v>28.016371603263877</v>
      </c>
      <c r="AR23" s="198">
        <f t="shared" si="14"/>
        <v>0.48897792893919717</v>
      </c>
      <c r="AS23" s="205">
        <f t="shared" si="15"/>
        <v>346.4855697344139</v>
      </c>
      <c r="AT23" s="206">
        <f t="shared" si="16"/>
        <v>-12.618402701109193</v>
      </c>
      <c r="AU23" s="207">
        <f t="shared" si="17"/>
        <v>345.97667366665956</v>
      </c>
      <c r="AV23" s="205">
        <f t="shared" si="18"/>
        <v>13.5144302655861</v>
      </c>
      <c r="AW23" s="206">
        <f t="shared" si="18"/>
        <v>12.618402701109193</v>
      </c>
      <c r="AX23" s="208">
        <f t="shared" si="19"/>
        <v>14.023326333340435</v>
      </c>
      <c r="AY23" s="203"/>
    </row>
    <row r="24" spans="1:51" ht="20" customHeight="1">
      <c r="B24" s="256" t="s">
        <v>17</v>
      </c>
      <c r="C24" s="40">
        <v>27</v>
      </c>
      <c r="D24" s="27">
        <v>31.51</v>
      </c>
      <c r="E24" s="27"/>
      <c r="F24" s="38">
        <v>13</v>
      </c>
      <c r="G24" s="1">
        <v>11.47</v>
      </c>
      <c r="H24" s="1"/>
      <c r="L24" s="108"/>
      <c r="AA24" s="341">
        <f t="shared" si="0"/>
        <v>0.64577182323790194</v>
      </c>
      <c r="AB24" s="338">
        <f t="shared" si="5"/>
        <v>37</v>
      </c>
      <c r="AC24" s="343">
        <f t="shared" si="9"/>
        <v>-1.3898668062978325</v>
      </c>
      <c r="AD24" s="110">
        <f t="shared" si="6"/>
        <v>0</v>
      </c>
      <c r="AE24" s="120"/>
      <c r="AF24" s="341">
        <f t="shared" si="1"/>
        <v>0.49741883681838428</v>
      </c>
      <c r="AG24" s="340">
        <f t="shared" si="7"/>
        <v>28.500000000000021</v>
      </c>
      <c r="AH24" s="344">
        <f t="shared" si="2"/>
        <v>-0.15607699014598531</v>
      </c>
      <c r="AI24" s="110">
        <f t="shared" si="3"/>
        <v>0</v>
      </c>
      <c r="AJ24" s="120"/>
      <c r="AK24" s="341">
        <f t="shared" si="10"/>
        <v>0.48183304659807497</v>
      </c>
      <c r="AL24" s="340">
        <f t="shared" si="8"/>
        <v>27.607000000000024</v>
      </c>
      <c r="AM24" s="345">
        <f t="shared" si="11"/>
        <v>-1.5033840810651622E-2</v>
      </c>
      <c r="AN24" s="110">
        <f t="shared" si="12"/>
        <v>0</v>
      </c>
      <c r="AQ24" s="204">
        <f t="shared" si="13"/>
        <v>27.991371603263879</v>
      </c>
      <c r="AR24" s="198">
        <f t="shared" si="14"/>
        <v>0.48854159662619862</v>
      </c>
      <c r="AS24" s="205">
        <f t="shared" si="15"/>
        <v>346.52808242457218</v>
      </c>
      <c r="AT24" s="206">
        <f t="shared" si="16"/>
        <v>-12.647990915940877</v>
      </c>
      <c r="AU24" s="207">
        <f t="shared" si="17"/>
        <v>346.02084262122742</v>
      </c>
      <c r="AV24" s="205">
        <f t="shared" si="18"/>
        <v>13.471917575427824</v>
      </c>
      <c r="AW24" s="206">
        <f t="shared" si="18"/>
        <v>12.647990915940877</v>
      </c>
      <c r="AX24" s="208">
        <f t="shared" si="19"/>
        <v>13.979157378772584</v>
      </c>
      <c r="AY24" s="203"/>
    </row>
    <row r="25" spans="1:51" ht="20" customHeight="1" thickBot="1">
      <c r="B25" s="66" t="s">
        <v>16</v>
      </c>
      <c r="C25" s="52">
        <f>AM53</f>
        <v>27</v>
      </c>
      <c r="D25" s="53">
        <f>AN53</f>
        <v>31.514641262053971</v>
      </c>
      <c r="E25" s="54" t="str">
        <f>AO53</f>
        <v>N</v>
      </c>
      <c r="F25" s="55">
        <f>AM59</f>
        <v>13</v>
      </c>
      <c r="G25" s="56">
        <f>AN59</f>
        <v>11.471816444034175</v>
      </c>
      <c r="H25" s="57" t="str">
        <f>AO59</f>
        <v>E</v>
      </c>
      <c r="L25" s="108"/>
      <c r="M25" s="475" t="s">
        <v>141</v>
      </c>
      <c r="O25" s="178"/>
      <c r="P25" s="29" t="s">
        <v>123</v>
      </c>
      <c r="S25" s="178"/>
      <c r="T25" s="178"/>
      <c r="V25" s="125" t="s">
        <v>100</v>
      </c>
      <c r="AA25" s="341">
        <f t="shared" si="0"/>
        <v>0.68067840827778847</v>
      </c>
      <c r="AB25" s="338">
        <f t="shared" si="5"/>
        <v>39</v>
      </c>
      <c r="AC25" s="343">
        <f t="shared" si="9"/>
        <v>-1.3898668062978325</v>
      </c>
      <c r="AD25" s="110">
        <f t="shared" si="6"/>
        <v>0</v>
      </c>
      <c r="AE25" s="120"/>
      <c r="AF25" s="341">
        <f t="shared" si="1"/>
        <v>0.49916416607037867</v>
      </c>
      <c r="AG25" s="340">
        <f t="shared" si="7"/>
        <v>28.600000000000023</v>
      </c>
      <c r="AH25" s="344">
        <f t="shared" si="2"/>
        <v>-0.17706866393884457</v>
      </c>
      <c r="AI25" s="110">
        <f t="shared" si="3"/>
        <v>0</v>
      </c>
      <c r="AJ25" s="120"/>
      <c r="AK25" s="341">
        <f t="shared" si="10"/>
        <v>0.48195521964571458</v>
      </c>
      <c r="AL25" s="340">
        <f t="shared" si="8"/>
        <v>27.614000000000026</v>
      </c>
      <c r="AM25" s="345">
        <f t="shared" si="11"/>
        <v>-1.6329582435010259E-2</v>
      </c>
      <c r="AN25" s="110">
        <f t="shared" si="12"/>
        <v>0</v>
      </c>
      <c r="AQ25" s="204">
        <f t="shared" si="13"/>
        <v>27.96637160326388</v>
      </c>
      <c r="AR25" s="198">
        <f t="shared" si="14"/>
        <v>0.48810526431320006</v>
      </c>
      <c r="AS25" s="205">
        <f t="shared" si="15"/>
        <v>346.57040721443553</v>
      </c>
      <c r="AT25" s="206">
        <f t="shared" si="16"/>
        <v>-12.677491737858984</v>
      </c>
      <c r="AU25" s="207">
        <f t="shared" si="17"/>
        <v>346.06480634186204</v>
      </c>
      <c r="AV25" s="205">
        <f t="shared" si="18"/>
        <v>13.429592785564466</v>
      </c>
      <c r="AW25" s="206">
        <f t="shared" si="18"/>
        <v>12.677491737858984</v>
      </c>
      <c r="AX25" s="208">
        <f t="shared" si="19"/>
        <v>13.935193658137962</v>
      </c>
      <c r="AY25" s="203"/>
    </row>
    <row r="26" spans="1:51" ht="20" customHeight="1" thickBot="1">
      <c r="B26" s="361" t="s">
        <v>31</v>
      </c>
      <c r="C26" s="423">
        <f>(360-LHA)/15/24+G13</f>
        <v>0.46560058375115754</v>
      </c>
      <c r="D26" s="423"/>
      <c r="E26" s="362" t="s">
        <v>95</v>
      </c>
      <c r="G26" s="49"/>
      <c r="H26" s="34"/>
      <c r="L26" s="108"/>
      <c r="M26" s="476" t="s">
        <v>142</v>
      </c>
      <c r="N26" s="477" t="s">
        <v>143</v>
      </c>
      <c r="O26" s="108"/>
      <c r="P26" s="448" t="s">
        <v>124</v>
      </c>
      <c r="Q26" s="449" t="s">
        <v>125</v>
      </c>
      <c r="R26" s="450" t="s">
        <v>126</v>
      </c>
      <c r="V26" s="408" t="s">
        <v>101</v>
      </c>
      <c r="W26" s="399" t="s">
        <v>103</v>
      </c>
      <c r="X26" s="396">
        <f>IF(C8 ="N",1,0)</f>
        <v>1</v>
      </c>
      <c r="Y26" s="400" t="s">
        <v>102</v>
      </c>
      <c r="AA26" s="341">
        <f t="shared" si="0"/>
        <v>0.71558499331767511</v>
      </c>
      <c r="AB26" s="338">
        <f t="shared" si="5"/>
        <v>41</v>
      </c>
      <c r="AC26" s="343">
        <f t="shared" si="9"/>
        <v>-1.3898668062978325</v>
      </c>
      <c r="AD26" s="110">
        <f t="shared" si="6"/>
        <v>0</v>
      </c>
      <c r="AE26" s="120"/>
      <c r="AF26" s="341">
        <f t="shared" si="1"/>
        <v>0.50090949532237306</v>
      </c>
      <c r="AG26" s="340">
        <f t="shared" si="7"/>
        <v>28.700000000000024</v>
      </c>
      <c r="AH26" s="344">
        <f t="shared" si="2"/>
        <v>-0.19842188551542339</v>
      </c>
      <c r="AI26" s="110">
        <f t="shared" si="3"/>
        <v>0</v>
      </c>
      <c r="AJ26" s="120"/>
      <c r="AK26" s="341">
        <f t="shared" si="10"/>
        <v>0.48207739269335426</v>
      </c>
      <c r="AL26" s="340">
        <f t="shared" si="8"/>
        <v>27.621000000000027</v>
      </c>
      <c r="AM26" s="345">
        <f t="shared" si="11"/>
        <v>-1.7626681528553512E-2</v>
      </c>
      <c r="AN26" s="110">
        <f t="shared" si="12"/>
        <v>0</v>
      </c>
      <c r="AO26" s="118"/>
      <c r="AQ26" s="204">
        <f t="shared" si="13"/>
        <v>27.941371603263882</v>
      </c>
      <c r="AR26" s="198">
        <f t="shared" si="14"/>
        <v>0.4876689320002015</v>
      </c>
      <c r="AS26" s="205">
        <f t="shared" si="15"/>
        <v>346.61254581161097</v>
      </c>
      <c r="AT26" s="206">
        <f t="shared" si="16"/>
        <v>-12.706905588292111</v>
      </c>
      <c r="AU26" s="207">
        <f t="shared" si="17"/>
        <v>346.10856682945445</v>
      </c>
      <c r="AV26" s="205">
        <f t="shared" si="18"/>
        <v>13.387454188389029</v>
      </c>
      <c r="AW26" s="206">
        <f t="shared" si="18"/>
        <v>12.706905588292111</v>
      </c>
      <c r="AX26" s="208">
        <f t="shared" si="19"/>
        <v>13.891433170545554</v>
      </c>
      <c r="AY26" s="203"/>
    </row>
    <row r="27" spans="1:51" ht="20" customHeight="1">
      <c r="A27" s="10"/>
      <c r="B27" s="22"/>
      <c r="C27" s="255"/>
      <c r="D27" s="22"/>
      <c r="G27" s="234"/>
      <c r="L27" s="108"/>
      <c r="M27" s="478" t="s">
        <v>144</v>
      </c>
      <c r="N27" s="479">
        <f>280.4656</f>
        <v>280.46559999999999</v>
      </c>
      <c r="O27" s="108"/>
      <c r="P27" s="451" t="s">
        <v>127</v>
      </c>
      <c r="Q27" s="452">
        <f>_xlfn.DAYS(dat,ref)+ot-0.5</f>
        <v>7762.9250925925926</v>
      </c>
      <c r="R27" s="453">
        <f>_xlfn.DAYS(dat_,ref)+ot_-0.5</f>
        <v>7763.022488425926</v>
      </c>
      <c r="V27" s="398" t="s">
        <v>104</v>
      </c>
      <c r="W27" s="382">
        <f>DEGREES(X27)</f>
        <v>5.4772419975386493</v>
      </c>
      <c r="X27" s="383">
        <f>U*deka</f>
        <v>9.5595906785560583E-2</v>
      </c>
      <c r="Y27" s="411"/>
      <c r="AA27" s="341">
        <f t="shared" si="0"/>
        <v>0.75049157835756175</v>
      </c>
      <c r="AB27" s="338">
        <f t="shared" si="5"/>
        <v>43</v>
      </c>
      <c r="AC27" s="343">
        <f t="shared" si="9"/>
        <v>-1.3898668062978325</v>
      </c>
      <c r="AD27" s="110">
        <f t="shared" si="6"/>
        <v>0</v>
      </c>
      <c r="AE27" s="120"/>
      <c r="AF27" s="341">
        <f t="shared" si="1"/>
        <v>0.50265482457436739</v>
      </c>
      <c r="AG27" s="340">
        <f t="shared" si="7"/>
        <v>28.800000000000026</v>
      </c>
      <c r="AH27" s="344">
        <f t="shared" si="2"/>
        <v>-0.22015072426619753</v>
      </c>
      <c r="AI27" s="110">
        <f t="shared" si="3"/>
        <v>0</v>
      </c>
      <c r="AJ27" s="120"/>
      <c r="AK27" s="341">
        <f t="shared" si="10"/>
        <v>0.48219956574099387</v>
      </c>
      <c r="AL27" s="340">
        <f t="shared" si="8"/>
        <v>27.628000000000029</v>
      </c>
      <c r="AM27" s="345">
        <f t="shared" si="11"/>
        <v>-1.8925140944498597E-2</v>
      </c>
      <c r="AN27" s="110">
        <f t="shared" si="12"/>
        <v>0</v>
      </c>
      <c r="AO27" s="118"/>
      <c r="AQ27" s="204">
        <f t="shared" si="13"/>
        <v>27.916371603263883</v>
      </c>
      <c r="AR27" s="198">
        <f t="shared" si="14"/>
        <v>0.48723259968720295</v>
      </c>
      <c r="AS27" s="205">
        <f t="shared" si="15"/>
        <v>346.65449989642099</v>
      </c>
      <c r="AT27" s="206">
        <f t="shared" si="16"/>
        <v>-12.736232884997733</v>
      </c>
      <c r="AU27" s="207">
        <f t="shared" si="17"/>
        <v>346.15212605070258</v>
      </c>
      <c r="AV27" s="205">
        <f t="shared" si="18"/>
        <v>13.345500103579013</v>
      </c>
      <c r="AW27" s="206">
        <f t="shared" si="18"/>
        <v>12.736232884997733</v>
      </c>
      <c r="AX27" s="208">
        <f t="shared" si="19"/>
        <v>13.847873949297423</v>
      </c>
      <c r="AY27" s="203"/>
    </row>
    <row r="28" spans="1:51" ht="20" customHeight="1">
      <c r="C28" s="17"/>
      <c r="D28" s="17"/>
      <c r="E28" s="17"/>
      <c r="F28" s="17"/>
      <c r="G28" s="17"/>
      <c r="H28" s="16"/>
      <c r="L28" s="108"/>
      <c r="M28" s="480" t="s">
        <v>145</v>
      </c>
      <c r="N28" s="481">
        <f>282.94</f>
        <v>282.94</v>
      </c>
      <c r="O28" s="108"/>
      <c r="P28" s="454" t="s">
        <v>128</v>
      </c>
      <c r="Q28" s="455">
        <f>RADIANS(_A1+_B1*_T1)</f>
        <v>138.43902841831135</v>
      </c>
      <c r="R28" s="456">
        <f>RADIANS(_A1+_B1*_T2)</f>
        <v>138.44070389850586</v>
      </c>
      <c r="V28" s="368" t="s">
        <v>105</v>
      </c>
      <c r="W28" s="369">
        <f t="shared" ref="W28:W34" si="20">DEGREES(X28)</f>
        <v>5.5144728889844652</v>
      </c>
      <c r="X28" s="370">
        <f>U*dekb</f>
        <v>9.6245708424742657E-2</v>
      </c>
      <c r="Y28" s="412"/>
      <c r="AA28" s="341">
        <f t="shared" si="0"/>
        <v>0.78539816339744828</v>
      </c>
      <c r="AB28" s="338">
        <f t="shared" si="5"/>
        <v>45</v>
      </c>
      <c r="AC28" s="343">
        <f t="shared" si="9"/>
        <v>-1.3898668062978325</v>
      </c>
      <c r="AD28" s="110">
        <f t="shared" si="6"/>
        <v>0</v>
      </c>
      <c r="AE28" s="120"/>
      <c r="AF28" s="341">
        <f t="shared" si="1"/>
        <v>0.50440015382636172</v>
      </c>
      <c r="AG28" s="340">
        <f t="shared" si="7"/>
        <v>28.900000000000027</v>
      </c>
      <c r="AH28" s="344">
        <f t="shared" si="2"/>
        <v>-0.24227032374283741</v>
      </c>
      <c r="AI28" s="110">
        <f t="shared" si="3"/>
        <v>0</v>
      </c>
      <c r="AJ28" s="120"/>
      <c r="AK28" s="341">
        <f t="shared" si="10"/>
        <v>0.48232173878863349</v>
      </c>
      <c r="AL28" s="340">
        <f t="shared" si="8"/>
        <v>27.63500000000003</v>
      </c>
      <c r="AM28" s="345">
        <f t="shared" si="11"/>
        <v>-2.022496354750869E-2</v>
      </c>
      <c r="AN28" s="110">
        <f t="shared" si="12"/>
        <v>0</v>
      </c>
      <c r="AO28" s="88"/>
      <c r="AQ28" s="204">
        <f t="shared" si="13"/>
        <v>27.891371603263885</v>
      </c>
      <c r="AR28" s="198">
        <f t="shared" si="14"/>
        <v>0.48679626737420439</v>
      </c>
      <c r="AS28" s="205">
        <f t="shared" si="15"/>
        <v>346.69627112251646</v>
      </c>
      <c r="AT28" s="206">
        <f t="shared" si="16"/>
        <v>-12.765474042107376</v>
      </c>
      <c r="AU28" s="207">
        <f t="shared" si="17"/>
        <v>346.19548593893205</v>
      </c>
      <c r="AV28" s="205">
        <f t="shared" si="18"/>
        <v>13.303728877483536</v>
      </c>
      <c r="AW28" s="206">
        <f t="shared" si="18"/>
        <v>12.765474042107376</v>
      </c>
      <c r="AX28" s="208">
        <f t="shared" si="19"/>
        <v>13.804514061067948</v>
      </c>
      <c r="AY28" s="203"/>
    </row>
    <row r="29" spans="1:51" ht="20" customHeight="1">
      <c r="B29" s="256" t="s">
        <v>80</v>
      </c>
      <c r="E29" s="231"/>
      <c r="F29" s="48"/>
      <c r="G29" s="263" t="s">
        <v>81</v>
      </c>
      <c r="H29" s="232">
        <v>1</v>
      </c>
      <c r="L29" s="108"/>
      <c r="M29" s="480" t="s">
        <v>146</v>
      </c>
      <c r="N29" s="481">
        <f>0.016709</f>
        <v>1.6709000000000002E-2</v>
      </c>
      <c r="O29" s="108"/>
      <c r="P29" s="454" t="s">
        <v>129</v>
      </c>
      <c r="Q29" s="455">
        <f>RADIANS(_A2+_B2*_T1)</f>
        <v>4.9446119163342885</v>
      </c>
      <c r="R29" s="456">
        <f>RADIANS(_A2+_B2*_T2)</f>
        <v>4.944611996346068</v>
      </c>
      <c r="V29" s="371" t="s">
        <v>106</v>
      </c>
      <c r="W29" s="369">
        <f t="shared" si="20"/>
        <v>84.522758002461359</v>
      </c>
      <c r="X29" s="370">
        <f>PI()/2-X27</f>
        <v>1.475200420009336</v>
      </c>
      <c r="Y29" s="412"/>
      <c r="AA29" s="341">
        <f t="shared" si="0"/>
        <v>0.82030474843733492</v>
      </c>
      <c r="AB29" s="338">
        <f t="shared" si="5"/>
        <v>47</v>
      </c>
      <c r="AC29" s="343">
        <f>IFERROR(ABS((DEGREES(ACOS((SIN(hma)-SIN(deka)*SIN(AA29))/(COS(deka)*COS(AA29)))+IF(EW=TRUE,1,-1)*ACOS((SIN(hmb)-SIN(dekb)*SIN(AA29))/(COS(dekb)*COS(AA29)))))/15)-dt,-$AC$8)</f>
        <v>-1.3898668062978325</v>
      </c>
      <c r="AD29" s="110">
        <f t="shared" si="6"/>
        <v>0</v>
      </c>
      <c r="AE29" s="120"/>
      <c r="AF29" s="341">
        <f t="shared" si="1"/>
        <v>0.50614548307835605</v>
      </c>
      <c r="AG29" s="340">
        <f t="shared" si="7"/>
        <v>29.000000000000028</v>
      </c>
      <c r="AH29" s="344">
        <f t="shared" si="2"/>
        <v>-0.26479702690932294</v>
      </c>
      <c r="AI29" s="110">
        <f t="shared" si="3"/>
        <v>0</v>
      </c>
      <c r="AJ29" s="120"/>
      <c r="AK29" s="341">
        <f t="shared" si="10"/>
        <v>0.48244391183627311</v>
      </c>
      <c r="AL29" s="340">
        <f t="shared" si="8"/>
        <v>27.642000000000031</v>
      </c>
      <c r="AM29" s="345">
        <f t="shared" si="11"/>
        <v>-2.1526152213747096E-2</v>
      </c>
      <c r="AN29" s="110">
        <f t="shared" si="12"/>
        <v>0</v>
      </c>
      <c r="AO29" s="88"/>
      <c r="AQ29" s="204">
        <f t="shared" si="13"/>
        <v>27.866371603263886</v>
      </c>
      <c r="AR29" s="198">
        <f t="shared" si="14"/>
        <v>0.48635993506120584</v>
      </c>
      <c r="AS29" s="205">
        <f t="shared" si="15"/>
        <v>346.73786111747148</v>
      </c>
      <c r="AT29" s="206">
        <f t="shared" si="16"/>
        <v>-12.794629470170957</v>
      </c>
      <c r="AU29" s="207">
        <f t="shared" si="17"/>
        <v>346.23864839489102</v>
      </c>
      <c r="AV29" s="205">
        <f t="shared" si="18"/>
        <v>13.262138882528518</v>
      </c>
      <c r="AW29" s="206">
        <f t="shared" si="18"/>
        <v>12.794629470170957</v>
      </c>
      <c r="AX29" s="208">
        <f t="shared" si="19"/>
        <v>13.761351605108985</v>
      </c>
      <c r="AY29" s="203"/>
    </row>
    <row r="30" spans="1:51" ht="20" customHeight="1" thickBot="1">
      <c r="H30" s="16"/>
      <c r="L30" s="108"/>
      <c r="M30" s="480" t="s">
        <v>147</v>
      </c>
      <c r="N30" s="481">
        <f>23.4391667</f>
        <v>23.439166700000001</v>
      </c>
      <c r="O30" s="108"/>
      <c r="P30" s="454" t="s">
        <v>130</v>
      </c>
      <c r="Q30" s="455">
        <f>Q28-Q29</f>
        <v>133.49441650197707</v>
      </c>
      <c r="R30" s="456">
        <f>(R28-R29)</f>
        <v>133.4960919021598</v>
      </c>
      <c r="V30" s="372" t="s">
        <v>107</v>
      </c>
      <c r="W30" s="369">
        <f t="shared" si="20"/>
        <v>84.485527111015543</v>
      </c>
      <c r="X30" s="370">
        <f>PI()/2-X28</f>
        <v>1.474550618370154</v>
      </c>
      <c r="Y30" s="413"/>
      <c r="AA30" s="341">
        <f t="shared" si="0"/>
        <v>0.85521133347722145</v>
      </c>
      <c r="AB30" s="338">
        <f t="shared" si="5"/>
        <v>49</v>
      </c>
      <c r="AC30" s="343">
        <f t="shared" si="9"/>
        <v>-1.3898668062978325</v>
      </c>
      <c r="AD30" s="110">
        <f t="shared" si="6"/>
        <v>0</v>
      </c>
      <c r="AE30" s="120"/>
      <c r="AF30" s="341">
        <f t="shared" si="1"/>
        <v>0.50789081233035038</v>
      </c>
      <c r="AG30" s="340">
        <f t="shared" si="7"/>
        <v>29.10000000000003</v>
      </c>
      <c r="AH30" s="344">
        <f t="shared" si="2"/>
        <v>-0.28774852139323226</v>
      </c>
      <c r="AI30" s="110"/>
      <c r="AJ30" s="120"/>
      <c r="AK30" s="341">
        <f t="shared" si="10"/>
        <v>0.48246136512879306</v>
      </c>
      <c r="AL30" s="340">
        <f>IF($C$8="N",AL29+0.001,IF($C$8="S",AL29-0.001,#N/A))</f>
        <v>27.643000000000033</v>
      </c>
      <c r="AM30" s="345">
        <f t="shared" si="11"/>
        <v>-2.1712147992523079E-2</v>
      </c>
      <c r="AN30" s="292"/>
      <c r="AO30" s="88"/>
      <c r="AQ30" s="204">
        <f t="shared" si="13"/>
        <v>27.841371603263887</v>
      </c>
      <c r="AR30" s="198">
        <f t="shared" si="14"/>
        <v>0.48592360274820728</v>
      </c>
      <c r="AS30" s="205">
        <f t="shared" si="15"/>
        <v>346.77927148336141</v>
      </c>
      <c r="AT30" s="206">
        <f t="shared" si="16"/>
        <v>-12.823699576200342</v>
      </c>
      <c r="AU30" s="207">
        <f t="shared" si="17"/>
        <v>346.28161528752139</v>
      </c>
      <c r="AV30" s="205">
        <f t="shared" si="18"/>
        <v>13.220728516638587</v>
      </c>
      <c r="AW30" s="206">
        <f t="shared" si="18"/>
        <v>12.823699576200342</v>
      </c>
      <c r="AX30" s="208">
        <f t="shared" si="19"/>
        <v>13.71838471247861</v>
      </c>
      <c r="AY30" s="203"/>
    </row>
    <row r="31" spans="1:51" ht="20" customHeight="1">
      <c r="I31" s="8"/>
      <c r="J31" s="8"/>
      <c r="L31" s="108"/>
      <c r="M31" s="482"/>
      <c r="N31" s="483"/>
      <c r="O31" s="108"/>
      <c r="P31" s="454" t="s">
        <v>131</v>
      </c>
      <c r="Q31" s="455">
        <f>_A3-_B3*_T1</f>
        <v>1.6700073433158418E-2</v>
      </c>
      <c r="R31" s="456">
        <f>_A3-_B3*_T2</f>
        <v>1.6700073321163206E-2</v>
      </c>
      <c r="V31" s="372" t="s">
        <v>108</v>
      </c>
      <c r="W31" s="369">
        <f t="shared" si="20"/>
        <v>26.292786703614436</v>
      </c>
      <c r="X31" s="370">
        <f>PI()/2-hma</f>
        <v>0.45889569750265835</v>
      </c>
      <c r="Y31" s="414"/>
      <c r="AA31" s="341">
        <f t="shared" si="0"/>
        <v>0.89011791851710809</v>
      </c>
      <c r="AB31" s="338">
        <f t="shared" si="5"/>
        <v>51</v>
      </c>
      <c r="AC31" s="343">
        <f t="shared" si="9"/>
        <v>-1.3898668062978325</v>
      </c>
      <c r="AD31" s="110">
        <f t="shared" si="6"/>
        <v>0</v>
      </c>
      <c r="AE31" s="120"/>
      <c r="AF31" s="112"/>
      <c r="AG31" s="112"/>
      <c r="AH31" s="101"/>
      <c r="AI31" s="101"/>
      <c r="AJ31" s="120"/>
      <c r="AK31" s="112"/>
      <c r="AL31" s="112"/>
      <c r="AM31" s="101"/>
      <c r="AN31" s="101"/>
      <c r="AQ31" s="204">
        <f t="shared" si="13"/>
        <v>27.816371603263889</v>
      </c>
      <c r="AR31" s="198">
        <f t="shared" si="14"/>
        <v>0.48548727043520873</v>
      </c>
      <c r="AS31" s="205">
        <f t="shared" si="15"/>
        <v>346.82050379732431</v>
      </c>
      <c r="AT31" s="206">
        <f t="shared" si="16"/>
        <v>-12.852684763712507</v>
      </c>
      <c r="AU31" s="207">
        <f t="shared" si="17"/>
        <v>346.3243884547062</v>
      </c>
      <c r="AV31" s="205">
        <f t="shared" si="18"/>
        <v>13.179496202675693</v>
      </c>
      <c r="AW31" s="206">
        <f t="shared" si="18"/>
        <v>12.852684763712507</v>
      </c>
      <c r="AX31" s="208">
        <f t="shared" si="19"/>
        <v>13.675611545293805</v>
      </c>
      <c r="AY31" s="203"/>
    </row>
    <row r="32" spans="1:51" ht="20" customHeight="1" thickBot="1">
      <c r="I32" s="8"/>
      <c r="J32" s="8"/>
      <c r="K32" s="8"/>
      <c r="L32" s="108"/>
      <c r="M32" s="480" t="s">
        <v>148</v>
      </c>
      <c r="N32" s="484">
        <v>0.98564733744010957</v>
      </c>
      <c r="O32" s="108"/>
      <c r="P32" s="454" t="s">
        <v>132</v>
      </c>
      <c r="Q32" s="455">
        <f>(2*Q31-Q31^3/4)*SIN(Q30)+5*Q31^2/4*SIN(2*Q30)+13*Q31^3/12*SIN(3*Q30)</f>
        <v>3.3401125486186067E-2</v>
      </c>
      <c r="R32" s="456">
        <f>(2*R31-R31^3/4)*SIN(R30)+5*R31^2/4*SIN(2*R30)+13*R31^3/12*SIN(3*R30)</f>
        <v>3.3401211794187535E-2</v>
      </c>
      <c r="T32" s="233"/>
      <c r="V32" s="373" t="s">
        <v>96</v>
      </c>
      <c r="W32" s="369">
        <f t="shared" si="20"/>
        <v>29.387179136794252</v>
      </c>
      <c r="X32" s="370">
        <f>PI()/2-hmb</f>
        <v>0.51290303381044478</v>
      </c>
      <c r="Y32" s="413"/>
      <c r="AA32" s="341">
        <f t="shared" si="0"/>
        <v>0.92502450355699462</v>
      </c>
      <c r="AB32" s="338">
        <f t="shared" si="5"/>
        <v>53</v>
      </c>
      <c r="AC32" s="343">
        <f t="shared" si="9"/>
        <v>-1.3898668062978325</v>
      </c>
      <c r="AD32" s="110">
        <f t="shared" si="6"/>
        <v>0</v>
      </c>
      <c r="AE32" s="121"/>
      <c r="AF32" s="86" t="s">
        <v>51</v>
      </c>
      <c r="AG32" s="119"/>
      <c r="AH32" s="135"/>
      <c r="AI32" s="136"/>
      <c r="AJ32" s="120"/>
      <c r="AK32" s="109" t="s">
        <v>33</v>
      </c>
      <c r="AM32" s="77"/>
      <c r="AN32" s="302"/>
      <c r="AQ32" s="204">
        <f t="shared" si="13"/>
        <v>27.79137160326389</v>
      </c>
      <c r="AR32" s="198">
        <f t="shared" si="14"/>
        <v>0.48505093812221017</v>
      </c>
      <c r="AS32" s="205">
        <f t="shared" si="15"/>
        <v>346.86155961210665</v>
      </c>
      <c r="AT32" s="206">
        <f t="shared" si="16"/>
        <v>-12.881585432771674</v>
      </c>
      <c r="AU32" s="207">
        <f t="shared" si="17"/>
        <v>346.36696970399458</v>
      </c>
      <c r="AV32" s="205">
        <f t="shared" si="18"/>
        <v>13.138440387893354</v>
      </c>
      <c r="AW32" s="206">
        <f t="shared" si="18"/>
        <v>12.881585432771674</v>
      </c>
      <c r="AX32" s="208">
        <f t="shared" si="19"/>
        <v>13.633030296005415</v>
      </c>
      <c r="AY32" s="203"/>
    </row>
    <row r="33" spans="2:51" ht="20" customHeight="1" thickBot="1">
      <c r="H33" s="16"/>
      <c r="I33" s="8"/>
      <c r="J33" s="8"/>
      <c r="K33" s="8"/>
      <c r="L33" s="108"/>
      <c r="M33" s="480" t="s">
        <v>149</v>
      </c>
      <c r="N33" s="484">
        <v>4.706913073237508E-5</v>
      </c>
      <c r="O33" s="108"/>
      <c r="P33" s="457" t="s">
        <v>133</v>
      </c>
      <c r="Q33" s="455">
        <f>Q28+Q32</f>
        <v>138.47242954379755</v>
      </c>
      <c r="R33" s="456">
        <f>R28+R32</f>
        <v>138.47410511030006</v>
      </c>
      <c r="V33" s="371" t="s">
        <v>109</v>
      </c>
      <c r="W33" s="369">
        <f t="shared" si="20"/>
        <v>-324.9304003465632</v>
      </c>
      <c r="X33" s="370">
        <f>grtb-Grta</f>
        <v>-5.6711053258708519</v>
      </c>
      <c r="Y33" s="414"/>
      <c r="AA33" s="341">
        <f t="shared" si="0"/>
        <v>0.95993108859688125</v>
      </c>
      <c r="AB33" s="338">
        <f t="shared" si="5"/>
        <v>55</v>
      </c>
      <c r="AC33" s="343">
        <f t="shared" si="9"/>
        <v>-1.3898668062978325</v>
      </c>
      <c r="AD33" s="110">
        <f t="shared" si="6"/>
        <v>0</v>
      </c>
      <c r="AE33" s="121"/>
      <c r="AF33" s="93" t="s">
        <v>24</v>
      </c>
      <c r="AG33" s="94" t="s">
        <v>9</v>
      </c>
      <c r="AH33" s="95" t="s">
        <v>25</v>
      </c>
      <c r="AI33" s="294" t="s">
        <v>26</v>
      </c>
      <c r="AJ33" s="121"/>
      <c r="AK33" s="97" t="s">
        <v>26</v>
      </c>
      <c r="AO33" s="88"/>
      <c r="AQ33" s="204">
        <f t="shared" si="13"/>
        <v>27.766371603263892</v>
      </c>
      <c r="AR33" s="198">
        <f t="shared" si="14"/>
        <v>0.48461460580921162</v>
      </c>
      <c r="AS33" s="205">
        <f t="shared" si="15"/>
        <v>346.90244045659369</v>
      </c>
      <c r="AT33" s="206">
        <f t="shared" si="16"/>
        <v>-12.910401980031015</v>
      </c>
      <c r="AU33" s="207">
        <f t="shared" si="17"/>
        <v>346.40936081330517</v>
      </c>
      <c r="AV33" s="205">
        <f t="shared" si="18"/>
        <v>13.097559543406305</v>
      </c>
      <c r="AW33" s="206">
        <f t="shared" si="18"/>
        <v>12.910401980031015</v>
      </c>
      <c r="AX33" s="208">
        <f t="shared" si="19"/>
        <v>13.59063918669483</v>
      </c>
      <c r="AY33" s="203"/>
    </row>
    <row r="34" spans="2:51" ht="20" customHeight="1" thickBot="1">
      <c r="I34" s="8"/>
      <c r="J34" s="8"/>
      <c r="K34" s="8"/>
      <c r="L34" s="108"/>
      <c r="M34" s="480" t="s">
        <v>150</v>
      </c>
      <c r="N34" s="484">
        <v>1.1498973305954826E-9</v>
      </c>
      <c r="O34" s="108"/>
      <c r="P34" s="458" t="s">
        <v>134</v>
      </c>
      <c r="Q34" s="459">
        <f>RADIANS(_A4-_B4*_T1)</f>
        <v>0.40904238904562235</v>
      </c>
      <c r="R34" s="460">
        <f>RADIANS(_A4-_B4*_T2)</f>
        <v>0.40904238844034219</v>
      </c>
      <c r="V34" s="379" t="s">
        <v>110</v>
      </c>
      <c r="W34" s="380">
        <f t="shared" si="20"/>
        <v>34.903217436499638</v>
      </c>
      <c r="X34" s="381">
        <f>ACOS(COS(X29)*COS(X30)+SIN(X29)*SIN(X30)*COS(X33))</f>
        <v>0.60917606380641354</v>
      </c>
      <c r="Y34" s="415"/>
      <c r="AA34" s="341">
        <f t="shared" si="0"/>
        <v>0.99483767363676789</v>
      </c>
      <c r="AB34" s="338">
        <f t="shared" si="5"/>
        <v>57</v>
      </c>
      <c r="AC34" s="343">
        <f t="shared" si="9"/>
        <v>-1.3898668062978325</v>
      </c>
      <c r="AD34" s="110">
        <f t="shared" si="6"/>
        <v>0</v>
      </c>
      <c r="AE34" s="121"/>
      <c r="AF34" s="132"/>
      <c r="AG34" s="133"/>
      <c r="AH34" s="134"/>
      <c r="AI34" s="293"/>
      <c r="AJ34" s="121"/>
      <c r="AK34" s="98" t="b">
        <v>1</v>
      </c>
      <c r="AO34" s="88"/>
      <c r="AQ34" s="204">
        <f t="shared" si="13"/>
        <v>27.741371603263893</v>
      </c>
      <c r="AR34" s="198">
        <f t="shared" si="14"/>
        <v>0.48417827349621306</v>
      </c>
      <c r="AS34" s="205">
        <f t="shared" si="15"/>
        <v>346.94314783632507</v>
      </c>
      <c r="AT34" s="206">
        <f t="shared" si="16"/>
        <v>-12.93913479877366</v>
      </c>
      <c r="AU34" s="207">
        <f t="shared" si="17"/>
        <v>346.45156353160854</v>
      </c>
      <c r="AV34" s="205">
        <f t="shared" si="18"/>
        <v>13.056852163674932</v>
      </c>
      <c r="AW34" s="206">
        <f t="shared" si="18"/>
        <v>12.93913479877366</v>
      </c>
      <c r="AX34" s="208">
        <f t="shared" si="19"/>
        <v>13.548436468391458</v>
      </c>
      <c r="AY34" s="203"/>
    </row>
    <row r="35" spans="2:51" ht="20" customHeight="1" thickBot="1">
      <c r="B35" s="33"/>
      <c r="I35" s="8"/>
      <c r="J35" s="8"/>
      <c r="K35" s="8"/>
      <c r="L35" s="108"/>
      <c r="M35" s="480" t="s">
        <v>151</v>
      </c>
      <c r="N35" s="484">
        <v>3.5607270514868054E-7</v>
      </c>
      <c r="O35" s="108"/>
      <c r="P35" s="461" t="s">
        <v>135</v>
      </c>
      <c r="Q35" s="462">
        <f>ATAN(  (TAN(Q28)-TAN(Q33)*COS(Q34))  /(1+TAN(Q28)*TAN(Q33)*COS(Q34)))</f>
        <v>-1.409191214452883E-2</v>
      </c>
      <c r="R35" s="463">
        <f>ATAN(  (TAN(R28)-TAN(R33)*COS(R34))  /(1+TAN(R28)*TAN(R33)*COS(R34)))</f>
        <v>-1.3967999816306779E-2</v>
      </c>
      <c r="V35" s="384" t="s">
        <v>111</v>
      </c>
      <c r="W35" s="385">
        <f>DEGREES(X35)</f>
        <v>88.207494844543191</v>
      </c>
      <c r="X35" s="386">
        <f>ACOS((COS(X30)-COS(X29)*COS(X34))/SIN(X29)/SIN(X34))</f>
        <v>1.5395112099732025</v>
      </c>
      <c r="Y35" s="416"/>
      <c r="AA35" s="341">
        <f t="shared" si="0"/>
        <v>1.0297442586766545</v>
      </c>
      <c r="AB35" s="338">
        <f t="shared" si="5"/>
        <v>59</v>
      </c>
      <c r="AC35" s="343">
        <f t="shared" si="9"/>
        <v>-1.3898668062978325</v>
      </c>
      <c r="AD35" s="110">
        <f t="shared" si="6"/>
        <v>0</v>
      </c>
      <c r="AE35" s="121"/>
      <c r="AF35" s="341">
        <f>RADIANS(AG35)</f>
        <v>0.46251225177849753</v>
      </c>
      <c r="AG35" s="339">
        <f>W6+IF(C8="N",-1.2,IF(C8="S",1.2,90))</f>
        <v>26.500000000000011</v>
      </c>
      <c r="AH35" s="344">
        <f>ABS((DEGREES(ACOS((SIN(hmav)-SIN(deka)*SIN(AF35))/(COS(deka)*COS(AF35)))+IF(EW=TRUE,1,-1)*ACOS((SIN(hmb)-SIN(dekb)*SIN(AF35))/(COS(dekb)*COS(AF35)))))/15)-dt</f>
        <v>0.17445270510533462</v>
      </c>
      <c r="AI35" s="110">
        <f t="shared" si="3"/>
        <v>0</v>
      </c>
      <c r="AJ35" s="121"/>
      <c r="AO35" s="88"/>
      <c r="AQ35" s="204">
        <f t="shared" si="13"/>
        <v>27.716371603263894</v>
      </c>
      <c r="AR35" s="198">
        <f t="shared" si="14"/>
        <v>0.48374194118321451</v>
      </c>
      <c r="AS35" s="205">
        <f t="shared" si="15"/>
        <v>346.98368323399581</v>
      </c>
      <c r="AT35" s="206">
        <f t="shared" si="16"/>
        <v>-12.967784278952927</v>
      </c>
      <c r="AU35" s="207">
        <f t="shared" si="17"/>
        <v>346.49357957958892</v>
      </c>
      <c r="AV35" s="205">
        <f t="shared" si="18"/>
        <v>13.016316766004195</v>
      </c>
      <c r="AW35" s="206">
        <f t="shared" si="18"/>
        <v>12.967784278952927</v>
      </c>
      <c r="AX35" s="208">
        <f t="shared" si="19"/>
        <v>13.506420420411075</v>
      </c>
      <c r="AY35" s="203"/>
    </row>
    <row r="36" spans="2:51" ht="20" customHeight="1">
      <c r="B36" s="33"/>
      <c r="I36" s="8"/>
      <c r="J36" s="8"/>
      <c r="K36" s="8"/>
      <c r="L36" s="108"/>
      <c r="M36" s="485"/>
      <c r="N36" s="486"/>
      <c r="O36" s="108"/>
      <c r="P36" s="464" t="s">
        <v>136</v>
      </c>
      <c r="Q36" s="465">
        <f>IF((ot*24+12)&gt;24,Q35+RADIANS(15)*(ot*24-12),Q35+RADIANS(15)*(ot*24+12))</f>
        <v>5.7984362734139197</v>
      </c>
      <c r="R36" s="466">
        <f>IF((ot_*24+12)&gt;24,R35+RADIANS(15)*(ot_*24-12),R35+RADIANS(15)*(ot_*24+12))</f>
        <v>0.12733094754306748</v>
      </c>
      <c r="V36" s="374" t="s">
        <v>112</v>
      </c>
      <c r="W36" s="369">
        <f>DEGREES(X36)</f>
        <v>57.535043765841287</v>
      </c>
      <c r="X36" s="370">
        <f>ACOS((COS(X32)-COS(X31)*COS(X34))/SIN(X31)/SIN(X34))</f>
        <v>1.0041759489929678</v>
      </c>
      <c r="Y36" s="417"/>
      <c r="AA36" s="341">
        <f t="shared" si="0"/>
        <v>1.064650843716541</v>
      </c>
      <c r="AB36" s="338">
        <f t="shared" si="5"/>
        <v>61</v>
      </c>
      <c r="AC36" s="343">
        <f t="shared" si="9"/>
        <v>-1.3898668062978325</v>
      </c>
      <c r="AD36" s="110">
        <f t="shared" si="6"/>
        <v>0</v>
      </c>
      <c r="AE36" s="121"/>
      <c r="AF36" s="341">
        <f>RADIANS(AG36)</f>
        <v>0.46425758103049186</v>
      </c>
      <c r="AG36" s="340">
        <f t="shared" ref="AG36:AG59" si="21">IF(AG35&gt;77,78,IF(AG35&lt;-77,-78,IF($C$8="N",AG35+0.1,IF($C$8="S",AG35-0.1,#N/A))))</f>
        <v>26.600000000000012</v>
      </c>
      <c r="AH36" s="344">
        <f t="shared" ref="AH36:AH59" si="22">IFERROR(ABS((DEGREES(ACOS((SIN(hmav)-SIN(deka)*SIN(AF36))/(COS(deka)*COS(AF36)))+IF(EW=TRUE,1,-1)*ACOS((SIN(hmb)-SIN(dekb)*SIN(AF36))/(COS(dekb)*COS(AF36)))))/15)-dt,-$AH$35)</f>
        <v>0.15848779221421117</v>
      </c>
      <c r="AI36" s="110">
        <f t="shared" si="3"/>
        <v>0</v>
      </c>
      <c r="AJ36" s="121"/>
      <c r="AO36" s="88"/>
      <c r="AQ36" s="204">
        <f>AQ37+$AW$13</f>
        <v>27.691371603263896</v>
      </c>
      <c r="AR36" s="198">
        <f t="shared" si="14"/>
        <v>0.48330560887021595</v>
      </c>
      <c r="AS36" s="205">
        <f t="shared" si="15"/>
        <v>347.02404810994369</v>
      </c>
      <c r="AT36" s="206">
        <f t="shared" si="16"/>
        <v>-12.996350807232197</v>
      </c>
      <c r="AU36" s="207">
        <f t="shared" si="17"/>
        <v>346.5354106502877</v>
      </c>
      <c r="AV36" s="205">
        <f t="shared" si="18"/>
        <v>12.975951890056308</v>
      </c>
      <c r="AW36" s="206">
        <f t="shared" si="18"/>
        <v>12.996350807232197</v>
      </c>
      <c r="AX36" s="208">
        <f t="shared" si="19"/>
        <v>13.464589349712298</v>
      </c>
      <c r="AY36" s="203"/>
    </row>
    <row r="37" spans="2:51" ht="20" customHeight="1" thickBot="1">
      <c r="B37" s="33"/>
      <c r="K37" s="8"/>
      <c r="L37" s="108"/>
      <c r="M37" s="487" t="s">
        <v>152</v>
      </c>
      <c r="N37" s="488">
        <v>36526</v>
      </c>
      <c r="O37" s="108"/>
      <c r="P37" s="467" t="s">
        <v>137</v>
      </c>
      <c r="Q37" s="468">
        <f>IF(Q36&lt;0,Q36+2*PI(),IF(Q36&gt;2*PI(),Q36-2*PI(),Q36))</f>
        <v>5.7984362734139197</v>
      </c>
      <c r="R37" s="468">
        <f>IF(R36&lt;0,R36+2*PI(),IF(R36&gt;2*PI(),R36-2*PI(),R36))</f>
        <v>0.12733094754306748</v>
      </c>
      <c r="V37" s="388" t="s">
        <v>97</v>
      </c>
      <c r="W37" s="402">
        <f>W35-W36</f>
        <v>30.672451078701904</v>
      </c>
      <c r="X37" s="403">
        <f>X35-X36</f>
        <v>0.53533526098023465</v>
      </c>
      <c r="Y37" s="389" t="s">
        <v>98</v>
      </c>
      <c r="AA37" s="341">
        <f t="shared" si="0"/>
        <v>1.0995574287564276</v>
      </c>
      <c r="AB37" s="338">
        <f t="shared" si="5"/>
        <v>63</v>
      </c>
      <c r="AC37" s="343">
        <f t="shared" si="9"/>
        <v>-1.3898668062978325</v>
      </c>
      <c r="AD37" s="110">
        <f t="shared" si="6"/>
        <v>0</v>
      </c>
      <c r="AE37" s="121"/>
      <c r="AF37" s="341">
        <f t="shared" ref="AF37:AF59" si="23">RADIANS(AG37)</f>
        <v>0.46600291028248625</v>
      </c>
      <c r="AG37" s="340">
        <f t="shared" si="21"/>
        <v>26.700000000000014</v>
      </c>
      <c r="AH37" s="344">
        <f t="shared" si="22"/>
        <v>0.1423110559647971</v>
      </c>
      <c r="AI37" s="110">
        <f t="shared" si="3"/>
        <v>0</v>
      </c>
      <c r="AJ37" s="121"/>
      <c r="AK37" s="68" t="s">
        <v>34</v>
      </c>
      <c r="AM37" s="28"/>
      <c r="AN37" s="28"/>
      <c r="AO37" s="88"/>
      <c r="AQ37" s="209">
        <f>Breite°-vb/2</f>
        <v>27.666371603263897</v>
      </c>
      <c r="AR37" s="295">
        <f>RADIANS(AQ37)</f>
        <v>0.4828692765572174</v>
      </c>
      <c r="AS37" s="296">
        <f t="shared" si="15"/>
        <v>347.06424390262379</v>
      </c>
      <c r="AT37" s="297">
        <f t="shared" si="16"/>
        <v>-13.024834767023863</v>
      </c>
      <c r="AU37" s="207">
        <f t="shared" si="17"/>
        <v>346.5770584097267</v>
      </c>
      <c r="AV37" s="296">
        <f t="shared" si="18"/>
        <v>12.935756097376213</v>
      </c>
      <c r="AW37" s="297">
        <f t="shared" si="18"/>
        <v>13.024834767023863</v>
      </c>
      <c r="AX37" s="208">
        <f t="shared" si="19"/>
        <v>13.422941590273297</v>
      </c>
      <c r="AY37" s="203"/>
    </row>
    <row r="38" spans="2:51" ht="20" customHeight="1" thickBot="1">
      <c r="B38" s="33"/>
      <c r="L38" s="108"/>
      <c r="O38" s="108"/>
      <c r="P38" s="469" t="s">
        <v>138</v>
      </c>
      <c r="Q38" s="470">
        <f>ASIN(SIN(Q33)*SIN(Q34))</f>
        <v>9.5595906785560583E-2</v>
      </c>
      <c r="R38" s="471">
        <f>ASIN(SIN(R33)*SIN(R34))</f>
        <v>9.6245708424742657E-2</v>
      </c>
      <c r="V38" s="384" t="s">
        <v>113</v>
      </c>
      <c r="W38" s="385">
        <f>DEGREES(X38)</f>
        <v>88.325870664611386</v>
      </c>
      <c r="X38" s="386">
        <f>ACOS((COS(X29)-COS(X30)*COS(X34))/SIN(X30)/SIN(X34))</f>
        <v>1.5415772577881408</v>
      </c>
      <c r="Y38" s="418"/>
      <c r="AA38" s="341">
        <f t="shared" si="0"/>
        <v>1.1344640137963142</v>
      </c>
      <c r="AB38" s="338">
        <f t="shared" si="5"/>
        <v>65</v>
      </c>
      <c r="AC38" s="343">
        <f t="shared" si="9"/>
        <v>-1.3898668062978325</v>
      </c>
      <c r="AD38" s="110">
        <f t="shared" si="6"/>
        <v>0</v>
      </c>
      <c r="AE38" s="121"/>
      <c r="AF38" s="341">
        <f t="shared" si="23"/>
        <v>0.46774823953448058</v>
      </c>
      <c r="AG38" s="340">
        <f t="shared" si="21"/>
        <v>26.800000000000015</v>
      </c>
      <c r="AH38" s="344">
        <f t="shared" si="22"/>
        <v>0.12591740272063712</v>
      </c>
      <c r="AI38" s="110">
        <f t="shared" si="3"/>
        <v>0</v>
      </c>
      <c r="AJ38" s="121"/>
      <c r="AK38" s="102"/>
      <c r="AL38" s="105" t="s">
        <v>27</v>
      </c>
      <c r="AM38" s="327">
        <f>IF(Grta+Länge&gt;2*PI(),Grta+Länge-2*PI(),IF((Grta+Länge)&lt;0,Grta+Länge+2*PI(),Grta+Länge))</f>
        <v>6.0286660923087299</v>
      </c>
      <c r="AN38" s="103">
        <f>DEGREES(AM38)</f>
        <v>345.41712318291661</v>
      </c>
      <c r="AO38" s="88"/>
      <c r="AQ38" s="204">
        <f>AQ37-$AW$13</f>
        <v>27.641371603263899</v>
      </c>
      <c r="AR38" s="198">
        <f t="shared" si="14"/>
        <v>0.48243294424421884</v>
      </c>
      <c r="AS38" s="205">
        <f t="shared" si="15"/>
        <v>347.10427202906925</v>
      </c>
      <c r="AT38" s="206">
        <f t="shared" si="16"/>
        <v>-13.05323653852806</v>
      </c>
      <c r="AU38" s="207">
        <f t="shared" si="17"/>
        <v>346.61852449751478</v>
      </c>
      <c r="AV38" s="205">
        <f t="shared" si="18"/>
        <v>12.89572797093075</v>
      </c>
      <c r="AW38" s="206">
        <f t="shared" si="18"/>
        <v>13.05323653852806</v>
      </c>
      <c r="AX38" s="208">
        <f t="shared" si="19"/>
        <v>13.381475502485216</v>
      </c>
      <c r="AY38" s="203"/>
    </row>
    <row r="39" spans="2:51" ht="20" customHeight="1" thickBot="1">
      <c r="L39" s="108"/>
      <c r="O39" s="108"/>
      <c r="P39" s="467" t="s">
        <v>139</v>
      </c>
      <c r="Q39" s="472">
        <f>DEGREES(Q37)</f>
        <v>332.22592624218265</v>
      </c>
      <c r="R39" s="472">
        <f>DEGREES(R37)</f>
        <v>7.2955258956194458</v>
      </c>
      <c r="V39" s="374" t="s">
        <v>114</v>
      </c>
      <c r="W39" s="369">
        <f>DEGREES(X39)</f>
        <v>49.607065379420938</v>
      </c>
      <c r="X39" s="370">
        <f>ACOS((COS(X31)-COS(X32)*COS(X34))/SIN(X32)/SIN(X34))</f>
        <v>0.8658066231229854</v>
      </c>
      <c r="Y39" s="419"/>
      <c r="AA39" s="341">
        <f t="shared" si="0"/>
        <v>1.1693705988362009</v>
      </c>
      <c r="AB39" s="338">
        <f t="shared" si="5"/>
        <v>67</v>
      </c>
      <c r="AC39" s="343">
        <f t="shared" si="9"/>
        <v>-1.3898668062978325</v>
      </c>
      <c r="AD39" s="110">
        <f t="shared" si="6"/>
        <v>0</v>
      </c>
      <c r="AE39" s="121"/>
      <c r="AF39" s="341">
        <f t="shared" si="23"/>
        <v>0.46949356878647491</v>
      </c>
      <c r="AG39" s="340">
        <f t="shared" si="21"/>
        <v>26.900000000000016</v>
      </c>
      <c r="AH39" s="344">
        <f t="shared" si="22"/>
        <v>0.10930150003195216</v>
      </c>
      <c r="AI39" s="110">
        <f t="shared" si="3"/>
        <v>0</v>
      </c>
      <c r="AJ39" s="121"/>
      <c r="AK39" s="104"/>
      <c r="AL39" s="106" t="s">
        <v>28</v>
      </c>
      <c r="AM39" s="364"/>
      <c r="AN39" s="365">
        <f>IF((_oz2+IF(_oz2&lt;_oz1,1,0)-_oz1)*24&gt;12,24-(_oz2+IF(_oz2&lt;_oz1,1,0)-_oz1)*24,(_oz2+IF(_oz2&lt;_oz1,1,0)-_oz1)*24)</f>
        <v>2.3375000000000004</v>
      </c>
      <c r="AO39" s="88"/>
      <c r="AQ39" s="204">
        <f>AQ38-$AW$13</f>
        <v>27.6163716032639</v>
      </c>
      <c r="AR39" s="198">
        <f t="shared" si="14"/>
        <v>0.48199661193122029</v>
      </c>
      <c r="AS39" s="205">
        <f t="shared" si="15"/>
        <v>347.14413388533984</v>
      </c>
      <c r="AT39" s="206">
        <f t="shared" si="16"/>
        <v>-13.081556498770345</v>
      </c>
      <c r="AU39" s="207">
        <f t="shared" si="17"/>
        <v>346.65981052743615</v>
      </c>
      <c r="AV39" s="205">
        <f t="shared" si="18"/>
        <v>12.855866114660159</v>
      </c>
      <c r="AW39" s="206">
        <f t="shared" si="18"/>
        <v>13.081556498770345</v>
      </c>
      <c r="AX39" s="208">
        <f t="shared" si="19"/>
        <v>13.34018947256385</v>
      </c>
      <c r="AY39" s="203"/>
    </row>
    <row r="40" spans="2:51" ht="20" customHeight="1" thickBot="1">
      <c r="B40" s="33"/>
      <c r="L40" s="108"/>
      <c r="M40" s="108"/>
      <c r="N40" s="108"/>
      <c r="O40" s="108"/>
      <c r="P40" s="469" t="s">
        <v>140</v>
      </c>
      <c r="Q40" s="473">
        <f>DEGREES(Q38)</f>
        <v>5.4772419975386493</v>
      </c>
      <c r="R40" s="474">
        <f>DEGREES(R38)</f>
        <v>5.5144728889844652</v>
      </c>
      <c r="V40" s="387" t="s">
        <v>97</v>
      </c>
      <c r="W40" s="401">
        <f>W38-W39</f>
        <v>38.718805285190449</v>
      </c>
      <c r="X40" s="404">
        <f>X38-X39</f>
        <v>0.67577063466515541</v>
      </c>
      <c r="Y40" s="394" t="s">
        <v>99</v>
      </c>
      <c r="AA40" s="341">
        <f t="shared" ref="AA40:AA59" si="24">RADIANS(AB40)</f>
        <v>1.2042771838760873</v>
      </c>
      <c r="AB40" s="338">
        <f t="shared" si="5"/>
        <v>69</v>
      </c>
      <c r="AC40" s="343">
        <f t="shared" ref="AC40:AC59" si="25">IFERROR(ABS((DEGREES(ACOS((SIN(hma)-SIN(deka)*SIN(AA40))/(COS(deka)*COS(AA40)))+IF(EW=TRUE,1,-1)*ACOS((SIN(hmb)-SIN(dekb)*SIN(AA40))/(COS(dekb)*COS(AA40)))))/15)-dt,-$AC$8)</f>
        <v>-1.3898668062978325</v>
      </c>
      <c r="AD40" s="110">
        <f t="shared" ref="AD40:AD58" si="26">IF(AC40*AC41&lt;0,TRUE,0)</f>
        <v>0</v>
      </c>
      <c r="AE40" s="121"/>
      <c r="AF40" s="341">
        <f t="shared" si="23"/>
        <v>0.4712388980384693</v>
      </c>
      <c r="AG40" s="340">
        <f t="shared" si="21"/>
        <v>27.000000000000018</v>
      </c>
      <c r="AH40" s="344">
        <f t="shared" si="22"/>
        <v>9.2457759832724751E-2</v>
      </c>
      <c r="AI40" s="110">
        <f t="shared" si="3"/>
        <v>0</v>
      </c>
      <c r="AJ40" s="121"/>
      <c r="AO40" s="88"/>
      <c r="AQ40" s="204">
        <f t="shared" ref="AQ40:AQ57" si="27">AQ39-$AW$13</f>
        <v>27.591371603263902</v>
      </c>
      <c r="AR40" s="198">
        <f t="shared" si="14"/>
        <v>0.48156027961822173</v>
      </c>
      <c r="AS40" s="205">
        <f t="shared" si="15"/>
        <v>347.1838308469587</v>
      </c>
      <c r="AT40" s="206">
        <f t="shared" si="16"/>
        <v>-13.109795021639137</v>
      </c>
      <c r="AU40" s="207">
        <f t="shared" si="17"/>
        <v>346.70091808802169</v>
      </c>
      <c r="AV40" s="205">
        <f t="shared" si="18"/>
        <v>12.816169153041301</v>
      </c>
      <c r="AW40" s="206">
        <f t="shared" si="18"/>
        <v>13.109795021639137</v>
      </c>
      <c r="AX40" s="208">
        <f t="shared" si="19"/>
        <v>13.299081911978305</v>
      </c>
      <c r="AY40" s="203"/>
    </row>
    <row r="41" spans="2:51" ht="20" customHeight="1" thickBot="1">
      <c r="L41" s="108"/>
      <c r="M41" s="108"/>
      <c r="N41" s="108"/>
      <c r="O41" s="108"/>
      <c r="V41" s="408" t="s">
        <v>119</v>
      </c>
      <c r="W41" s="409" t="b">
        <f>AND(X37&gt;0,X40&gt;0)</f>
        <v>1</v>
      </c>
      <c r="X41" s="406"/>
      <c r="Y41" s="407"/>
      <c r="AA41" s="341">
        <f t="shared" si="24"/>
        <v>1.2391837689159739</v>
      </c>
      <c r="AB41" s="338">
        <f t="shared" ref="AB41:AB59" si="28">IF(AB40&gt;77,78,IF(AB40&lt;-77,-78,IF($C$8="N",AB40+2,IF($C$8="S",AB40-2,#N/A))))</f>
        <v>71</v>
      </c>
      <c r="AC41" s="343">
        <f t="shared" si="25"/>
        <v>-1.3898668062978325</v>
      </c>
      <c r="AD41" s="110">
        <f t="shared" si="26"/>
        <v>0</v>
      </c>
      <c r="AE41" s="121"/>
      <c r="AF41" s="341">
        <f t="shared" si="23"/>
        <v>0.47298422729046363</v>
      </c>
      <c r="AG41" s="340">
        <f t="shared" si="21"/>
        <v>27.100000000000019</v>
      </c>
      <c r="AH41" s="344">
        <f t="shared" si="22"/>
        <v>7.5380320032744752E-2</v>
      </c>
      <c r="AI41" s="110">
        <f t="shared" si="3"/>
        <v>0</v>
      </c>
      <c r="AJ41" s="121"/>
      <c r="AQ41" s="204">
        <f t="shared" si="27"/>
        <v>27.566371603263903</v>
      </c>
      <c r="AR41" s="198">
        <f t="shared" si="14"/>
        <v>0.48112394730522312</v>
      </c>
      <c r="AS41" s="205">
        <f t="shared" si="15"/>
        <v>347.22336426933754</v>
      </c>
      <c r="AT41" s="206">
        <f t="shared" si="16"/>
        <v>-13.137952477922504</v>
      </c>
      <c r="AU41" s="207">
        <f t="shared" si="17"/>
        <v>346.74184874310481</v>
      </c>
      <c r="AV41" s="205">
        <f t="shared" si="18"/>
        <v>12.776635730662463</v>
      </c>
      <c r="AW41" s="206">
        <f t="shared" si="18"/>
        <v>13.137952477922504</v>
      </c>
      <c r="AX41" s="208">
        <f t="shared" si="19"/>
        <v>13.258151256895189</v>
      </c>
      <c r="AY41" s="203"/>
    </row>
    <row r="42" spans="2:51" ht="20" customHeight="1" thickBot="1">
      <c r="L42" s="108"/>
      <c r="M42" s="108"/>
      <c r="N42" s="108"/>
      <c r="O42" s="108"/>
      <c r="V42" s="395" t="s">
        <v>121</v>
      </c>
      <c r="W42" s="405">
        <f>IF(_oz2-_oz1+IF(TG&gt;0,1,0)&lt;0,#N/A,_oz2-_oz1+IF(TG&gt;0,1,0))</f>
        <v>9.7395833333333348E-2</v>
      </c>
      <c r="X42" s="410" t="s">
        <v>120</v>
      </c>
      <c r="Y42" s="397">
        <f>IF(_oz2&lt;_oz1,1,0)</f>
        <v>0</v>
      </c>
      <c r="AA42" s="341">
        <f t="shared" si="24"/>
        <v>1.2740903539558606</v>
      </c>
      <c r="AB42" s="338">
        <f t="shared" si="28"/>
        <v>73</v>
      </c>
      <c r="AC42" s="343">
        <f t="shared" si="25"/>
        <v>-1.3898668062978325</v>
      </c>
      <c r="AD42" s="110">
        <f t="shared" si="26"/>
        <v>0</v>
      </c>
      <c r="AE42" s="121"/>
      <c r="AF42" s="341">
        <f t="shared" si="23"/>
        <v>0.47472955654245802</v>
      </c>
      <c r="AG42" s="340">
        <f t="shared" si="21"/>
        <v>27.200000000000021</v>
      </c>
      <c r="AH42" s="344">
        <f t="shared" si="22"/>
        <v>5.806302430934096E-2</v>
      </c>
      <c r="AI42" s="110">
        <f t="shared" si="3"/>
        <v>0</v>
      </c>
      <c r="AJ42" s="121"/>
      <c r="AQ42" s="204">
        <f t="shared" si="27"/>
        <v>27.541371603263904</v>
      </c>
      <c r="AR42" s="198">
        <f t="shared" si="14"/>
        <v>0.48068761499222457</v>
      </c>
      <c r="AS42" s="205">
        <f t="shared" si="15"/>
        <v>347.26273548818995</v>
      </c>
      <c r="AT42" s="206">
        <f t="shared" si="16"/>
        <v>-13.166029235344363</v>
      </c>
      <c r="AU42" s="207">
        <f t="shared" si="17"/>
        <v>346.78260403236129</v>
      </c>
      <c r="AV42" s="205">
        <f t="shared" si="18"/>
        <v>12.737264511810054</v>
      </c>
      <c r="AW42" s="206">
        <f t="shared" si="18"/>
        <v>13.166029235344363</v>
      </c>
      <c r="AX42" s="208">
        <f t="shared" si="19"/>
        <v>13.217395967638708</v>
      </c>
      <c r="AY42" s="203"/>
    </row>
    <row r="43" spans="2:51" ht="20" customHeight="1">
      <c r="L43" s="108"/>
      <c r="M43" s="108"/>
      <c r="N43" s="108"/>
      <c r="O43" s="108"/>
      <c r="V43" s="391" t="s">
        <v>115</v>
      </c>
      <c r="W43" s="390" t="str">
        <f>IF(OR(W42&lt;0.5,W42&gt;1),IF(X37&lt;0,"W","E"),IF(X37&lt;0,"E","W"))</f>
        <v>E</v>
      </c>
      <c r="X43" s="392" t="s">
        <v>117</v>
      </c>
      <c r="Y43" s="393"/>
      <c r="AA43" s="341">
        <f t="shared" si="24"/>
        <v>1.3089969389957472</v>
      </c>
      <c r="AB43" s="338">
        <f t="shared" si="28"/>
        <v>75</v>
      </c>
      <c r="AC43" s="343">
        <f t="shared" si="25"/>
        <v>-1.3898668062978325</v>
      </c>
      <c r="AD43" s="110">
        <f t="shared" si="26"/>
        <v>0</v>
      </c>
      <c r="AE43" s="121"/>
      <c r="AF43" s="341">
        <f t="shared" si="23"/>
        <v>0.47647488579445235</v>
      </c>
      <c r="AG43" s="340">
        <f t="shared" si="21"/>
        <v>27.300000000000022</v>
      </c>
      <c r="AH43" s="344">
        <f t="shared" si="22"/>
        <v>4.0499399874534436E-2</v>
      </c>
      <c r="AI43" s="110">
        <f t="shared" si="3"/>
        <v>0</v>
      </c>
      <c r="AJ43" s="121"/>
      <c r="AQ43" s="204">
        <f t="shared" si="27"/>
        <v>27.516371603263906</v>
      </c>
      <c r="AR43" s="198">
        <f t="shared" si="14"/>
        <v>0.48025128267922601</v>
      </c>
      <c r="AS43" s="205">
        <f t="shared" si="15"/>
        <v>347.30194581993402</v>
      </c>
      <c r="AT43" s="206">
        <f t="shared" si="16"/>
        <v>-13.194025658600163</v>
      </c>
      <c r="AU43" s="207">
        <f t="shared" si="17"/>
        <v>346.82318547183343</v>
      </c>
      <c r="AV43" s="205">
        <f t="shared" si="18"/>
        <v>12.698054180065981</v>
      </c>
      <c r="AW43" s="206">
        <f t="shared" si="18"/>
        <v>13.194025658600163</v>
      </c>
      <c r="AX43" s="208">
        <f t="shared" si="19"/>
        <v>13.176814528166574</v>
      </c>
      <c r="AY43" s="203"/>
    </row>
    <row r="44" spans="2:51" ht="20" customHeight="1" thickBot="1">
      <c r="L44" s="108"/>
      <c r="M44" s="108"/>
      <c r="N44" s="108"/>
      <c r="O44" s="108"/>
      <c r="V44" s="375" t="s">
        <v>116</v>
      </c>
      <c r="W44" s="376" t="str">
        <f>IF(OR(W42&lt;0.5,W42&gt;1),IF(X40&lt;0,"E","W"),IF(X40&lt;0,"W","E"))</f>
        <v>W</v>
      </c>
      <c r="X44" s="377" t="s">
        <v>118</v>
      </c>
      <c r="Y44" s="378"/>
      <c r="AA44" s="341">
        <f t="shared" si="24"/>
        <v>1.3439035240356338</v>
      </c>
      <c r="AB44" s="338">
        <f t="shared" si="28"/>
        <v>77</v>
      </c>
      <c r="AC44" s="343">
        <f t="shared" si="25"/>
        <v>-1.3898668062978325</v>
      </c>
      <c r="AD44" s="110">
        <f t="shared" si="26"/>
        <v>0</v>
      </c>
      <c r="AE44" s="121"/>
      <c r="AF44" s="341">
        <f t="shared" si="23"/>
        <v>0.47822021504644668</v>
      </c>
      <c r="AG44" s="340">
        <f t="shared" si="21"/>
        <v>27.400000000000023</v>
      </c>
      <c r="AH44" s="344">
        <f t="shared" si="22"/>
        <v>2.2682632959066584E-2</v>
      </c>
      <c r="AI44" s="110">
        <f t="shared" si="3"/>
        <v>0</v>
      </c>
      <c r="AJ44" s="121"/>
      <c r="AQ44" s="204">
        <f t="shared" si="27"/>
        <v>27.491371603263907</v>
      </c>
      <c r="AR44" s="198">
        <f t="shared" si="14"/>
        <v>0.47981495036622746</v>
      </c>
      <c r="AS44" s="205">
        <f t="shared" si="15"/>
        <v>347.34099656208485</v>
      </c>
      <c r="AT44" s="206">
        <f t="shared" si="16"/>
        <v>-13.221942109391808</v>
      </c>
      <c r="AU44" s="207">
        <f t="shared" si="17"/>
        <v>346.86359455444034</v>
      </c>
      <c r="AV44" s="205">
        <f t="shared" si="18"/>
        <v>12.659003437915146</v>
      </c>
      <c r="AW44" s="206">
        <f t="shared" si="18"/>
        <v>13.221942109391808</v>
      </c>
      <c r="AX44" s="208">
        <f t="shared" si="19"/>
        <v>13.13640544555966</v>
      </c>
      <c r="AY44" s="203"/>
    </row>
    <row r="45" spans="2:51" ht="20" customHeight="1">
      <c r="L45" s="108"/>
      <c r="M45" s="108"/>
      <c r="N45" s="108"/>
      <c r="O45" s="108"/>
      <c r="AA45" s="341">
        <f t="shared" si="24"/>
        <v>1.3788101090755203</v>
      </c>
      <c r="AB45" s="338">
        <f t="shared" si="28"/>
        <v>79</v>
      </c>
      <c r="AC45" s="343">
        <f t="shared" si="25"/>
        <v>-1.3898668062978325</v>
      </c>
      <c r="AD45" s="110">
        <f t="shared" si="26"/>
        <v>0</v>
      </c>
      <c r="AE45" s="121"/>
      <c r="AF45" s="341">
        <f t="shared" si="23"/>
        <v>0.47996554429844107</v>
      </c>
      <c r="AG45" s="340">
        <f t="shared" si="21"/>
        <v>27.500000000000025</v>
      </c>
      <c r="AH45" s="344">
        <f t="shared" si="22"/>
        <v>4.605541714467698E-3</v>
      </c>
      <c r="AI45" s="110" t="b">
        <f t="shared" si="3"/>
        <v>1</v>
      </c>
      <c r="AJ45" s="121"/>
      <c r="AQ45" s="204">
        <f t="shared" si="27"/>
        <v>27.466371603263909</v>
      </c>
      <c r="AR45" s="198">
        <f t="shared" si="14"/>
        <v>0.4793786180532289</v>
      </c>
      <c r="AS45" s="205">
        <f t="shared" si="15"/>
        <v>347.37988899363603</v>
      </c>
      <c r="AT45" s="206">
        <f t="shared" si="16"/>
        <v>-13.249778946462712</v>
      </c>
      <c r="AU45" s="207">
        <f t="shared" si="17"/>
        <v>346.90383275047407</v>
      </c>
      <c r="AV45" s="205">
        <f t="shared" si="18"/>
        <v>12.62011100636397</v>
      </c>
      <c r="AW45" s="206">
        <f t="shared" si="18"/>
        <v>13.249778946462712</v>
      </c>
      <c r="AX45" s="208">
        <f t="shared" si="19"/>
        <v>13.096167249525934</v>
      </c>
      <c r="AY45" s="203"/>
    </row>
    <row r="46" spans="2:51" ht="20" customHeight="1">
      <c r="L46" s="108"/>
      <c r="M46" s="108"/>
      <c r="N46" s="108"/>
      <c r="O46" s="108"/>
      <c r="AA46" s="341">
        <f t="shared" si="24"/>
        <v>1.3613568165555769</v>
      </c>
      <c r="AB46" s="338">
        <f t="shared" si="28"/>
        <v>78</v>
      </c>
      <c r="AC46" s="343">
        <f t="shared" si="25"/>
        <v>-1.3898668062978325</v>
      </c>
      <c r="AD46" s="110">
        <f t="shared" si="26"/>
        <v>0</v>
      </c>
      <c r="AE46" s="121"/>
      <c r="AF46" s="341">
        <f t="shared" si="23"/>
        <v>0.4817108735504354</v>
      </c>
      <c r="AG46" s="340">
        <f t="shared" si="21"/>
        <v>27.600000000000026</v>
      </c>
      <c r="AH46" s="344">
        <f t="shared" si="22"/>
        <v>-1.3739453813607749E-2</v>
      </c>
      <c r="AI46" s="110">
        <f t="shared" si="3"/>
        <v>0</v>
      </c>
      <c r="AJ46" s="121"/>
      <c r="AQ46" s="204">
        <f t="shared" si="27"/>
        <v>27.44137160326391</v>
      </c>
      <c r="AR46" s="198">
        <f t="shared" si="14"/>
        <v>0.47894228574023034</v>
      </c>
      <c r="AS46" s="205">
        <f t="shared" si="15"/>
        <v>347.41862437543188</v>
      </c>
      <c r="AT46" s="206">
        <f t="shared" si="16"/>
        <v>-13.277536525631309</v>
      </c>
      <c r="AU46" s="207">
        <f t="shared" si="17"/>
        <v>346.94390150808107</v>
      </c>
      <c r="AV46" s="205">
        <f t="shared" si="18"/>
        <v>12.581375624568125</v>
      </c>
      <c r="AW46" s="206">
        <f t="shared" si="18"/>
        <v>13.277536525631309</v>
      </c>
      <c r="AX46" s="208">
        <f t="shared" si="19"/>
        <v>13.056098491918931</v>
      </c>
      <c r="AY46" s="203"/>
    </row>
    <row r="47" spans="2:51" ht="20" customHeight="1">
      <c r="L47" s="108"/>
      <c r="M47" s="108"/>
      <c r="N47" s="108"/>
      <c r="O47" s="108"/>
      <c r="AA47" s="341">
        <f t="shared" si="24"/>
        <v>1.3613568165555769</v>
      </c>
      <c r="AB47" s="338">
        <f t="shared" si="28"/>
        <v>78</v>
      </c>
      <c r="AC47" s="343">
        <f t="shared" si="25"/>
        <v>-1.3898668062978325</v>
      </c>
      <c r="AD47" s="110">
        <f t="shared" si="26"/>
        <v>0</v>
      </c>
      <c r="AE47" s="121"/>
      <c r="AF47" s="341">
        <f t="shared" si="23"/>
        <v>0.48345620280242979</v>
      </c>
      <c r="AG47" s="340">
        <f t="shared" si="21"/>
        <v>27.700000000000028</v>
      </c>
      <c r="AH47" s="344">
        <f t="shared" si="22"/>
        <v>-3.236036504465778E-2</v>
      </c>
      <c r="AI47" s="110">
        <f t="shared" si="3"/>
        <v>0</v>
      </c>
      <c r="AJ47" s="121"/>
      <c r="AQ47" s="204">
        <f t="shared" si="27"/>
        <v>27.416371603263912</v>
      </c>
      <c r="AR47" s="198">
        <f t="shared" si="14"/>
        <v>0.47850595342723179</v>
      </c>
      <c r="AS47" s="205">
        <f t="shared" si="15"/>
        <v>347.45720395053002</v>
      </c>
      <c r="AT47" s="206">
        <f t="shared" si="16"/>
        <v>-13.305215199825103</v>
      </c>
      <c r="AU47" s="207">
        <f t="shared" si="17"/>
        <v>346.98380225373211</v>
      </c>
      <c r="AV47" s="205">
        <f t="shared" si="18"/>
        <v>12.542796049469985</v>
      </c>
      <c r="AW47" s="206">
        <f t="shared" si="18"/>
        <v>13.305215199825103</v>
      </c>
      <c r="AX47" s="208">
        <f t="shared" si="19"/>
        <v>13.016197746267892</v>
      </c>
      <c r="AY47" s="203"/>
    </row>
    <row r="48" spans="2:51" ht="20" customHeight="1" thickBot="1">
      <c r="L48" s="108"/>
      <c r="M48" s="108"/>
      <c r="N48" s="108"/>
      <c r="O48" s="108"/>
      <c r="AA48" s="341">
        <f t="shared" si="24"/>
        <v>1.3613568165555769</v>
      </c>
      <c r="AB48" s="338">
        <f t="shared" si="28"/>
        <v>78</v>
      </c>
      <c r="AC48" s="343">
        <f t="shared" si="25"/>
        <v>-1.3898668062978325</v>
      </c>
      <c r="AD48" s="110">
        <f t="shared" si="26"/>
        <v>0</v>
      </c>
      <c r="AE48" s="121"/>
      <c r="AF48" s="341">
        <f t="shared" si="23"/>
        <v>0.48520153205442412</v>
      </c>
      <c r="AG48" s="340">
        <f t="shared" si="21"/>
        <v>27.800000000000029</v>
      </c>
      <c r="AH48" s="344">
        <f t="shared" si="22"/>
        <v>-5.1265672027144937E-2</v>
      </c>
      <c r="AI48" s="110">
        <f t="shared" si="3"/>
        <v>0</v>
      </c>
      <c r="AJ48" s="121"/>
      <c r="AK48" s="86" t="s">
        <v>17</v>
      </c>
      <c r="AL48" s="74"/>
      <c r="AM48" s="74"/>
      <c r="AO48" s="74"/>
      <c r="AQ48" s="204">
        <f t="shared" si="27"/>
        <v>27.391371603263913</v>
      </c>
      <c r="AR48" s="198">
        <f t="shared" si="14"/>
        <v>0.47806962111423323</v>
      </c>
      <c r="AS48" s="205">
        <f t="shared" si="15"/>
        <v>347.49562894455374</v>
      </c>
      <c r="AT48" s="206">
        <f t="shared" si="16"/>
        <v>-13.332815319113484</v>
      </c>
      <c r="AU48" s="207">
        <f t="shared" si="17"/>
        <v>347.02353639267778</v>
      </c>
      <c r="AV48" s="205">
        <f t="shared" si="18"/>
        <v>12.504371055446256</v>
      </c>
      <c r="AW48" s="206">
        <f t="shared" si="18"/>
        <v>13.332815319113484</v>
      </c>
      <c r="AX48" s="208">
        <f t="shared" si="19"/>
        <v>12.976463607322216</v>
      </c>
      <c r="AY48" s="203"/>
    </row>
    <row r="49" spans="1:51" ht="20" customHeight="1">
      <c r="L49" s="108"/>
      <c r="M49" s="108"/>
      <c r="N49" s="108"/>
      <c r="O49" s="108"/>
      <c r="P49" s="108"/>
      <c r="AA49" s="341">
        <f t="shared" si="24"/>
        <v>1.3613568165555769</v>
      </c>
      <c r="AB49" s="338">
        <f t="shared" si="28"/>
        <v>78</v>
      </c>
      <c r="AC49" s="343">
        <f t="shared" si="25"/>
        <v>-1.3898668062978325</v>
      </c>
      <c r="AD49" s="110">
        <f t="shared" si="26"/>
        <v>0</v>
      </c>
      <c r="AE49" s="121"/>
      <c r="AF49" s="341">
        <f t="shared" si="23"/>
        <v>0.48694686130641845</v>
      </c>
      <c r="AG49" s="340">
        <f t="shared" si="21"/>
        <v>27.900000000000031</v>
      </c>
      <c r="AH49" s="344">
        <f t="shared" si="22"/>
        <v>-7.0464364960903136E-2</v>
      </c>
      <c r="AI49" s="110">
        <f t="shared" si="3"/>
        <v>0</v>
      </c>
      <c r="AJ49" s="121"/>
      <c r="AK49" s="363" t="s">
        <v>89</v>
      </c>
      <c r="AL49" s="317">
        <f>RADIANS(AM49)</f>
        <v>0.48036697002639944</v>
      </c>
      <c r="AM49" s="309">
        <f>DGET(AL6:AN30,1,AK33:AK34)</f>
        <v>27.523000000000007</v>
      </c>
      <c r="AN49" s="320">
        <f>ABS((DEGREES(ACOS((SIN(hmav)-SIN(deka)*SIN(AL49))/(COS(deka)*COS(AL49)))+IF(EW=TRUE,1,-1)*ACOS((SIN(hmb)-SIN(dekb)*SIN(AL49))/(COS(dekb)*COS(AL49)))))/15)-dt</f>
        <v>4.1019934142649817E-4</v>
      </c>
      <c r="AO49" s="314"/>
      <c r="AQ49" s="204">
        <f t="shared" si="27"/>
        <v>27.366371603263914</v>
      </c>
      <c r="AR49" s="198">
        <f t="shared" si="14"/>
        <v>0.47763328880123468</v>
      </c>
      <c r="AS49" s="205">
        <f t="shared" si="15"/>
        <v>347.53390056603678</v>
      </c>
      <c r="AT49" s="206">
        <f t="shared" si="16"/>
        <v>-13.360337230740292</v>
      </c>
      <c r="AU49" s="207">
        <f t="shared" si="17"/>
        <v>347.06310530939288</v>
      </c>
      <c r="AV49" s="205">
        <f t="shared" si="18"/>
        <v>12.466099433963223</v>
      </c>
      <c r="AW49" s="206">
        <f t="shared" si="18"/>
        <v>13.360337230740292</v>
      </c>
      <c r="AX49" s="208">
        <f t="shared" si="19"/>
        <v>12.936894690607119</v>
      </c>
      <c r="AY49" s="203"/>
    </row>
    <row r="50" spans="1:51" ht="20" customHeight="1">
      <c r="L50" s="108"/>
      <c r="M50" s="108"/>
      <c r="N50" s="108"/>
      <c r="O50" s="108"/>
      <c r="P50" s="108"/>
      <c r="U50" s="108"/>
      <c r="AA50" s="341">
        <f t="shared" si="24"/>
        <v>1.3613568165555769</v>
      </c>
      <c r="AB50" s="338">
        <f t="shared" si="28"/>
        <v>78</v>
      </c>
      <c r="AC50" s="343">
        <f t="shared" si="25"/>
        <v>-1.3898668062978325</v>
      </c>
      <c r="AD50" s="110">
        <f t="shared" si="26"/>
        <v>0</v>
      </c>
      <c r="AE50" s="121"/>
      <c r="AF50" s="341">
        <f t="shared" si="23"/>
        <v>0.48869219055841284</v>
      </c>
      <c r="AG50" s="340">
        <f t="shared" si="21"/>
        <v>28.000000000000032</v>
      </c>
      <c r="AH50" s="344">
        <f t="shared" si="22"/>
        <v>-8.996599073099576E-2</v>
      </c>
      <c r="AI50" s="110">
        <f t="shared" si="3"/>
        <v>0</v>
      </c>
      <c r="AJ50" s="121"/>
      <c r="AK50" s="319"/>
      <c r="AL50" s="318">
        <f>RADIANS(AM50)</f>
        <v>0.48047168978151911</v>
      </c>
      <c r="AM50" s="310">
        <f>IF($C$8="N",AM49+0.006,AM49-0.006)</f>
        <v>27.529000000000007</v>
      </c>
      <c r="AN50" s="321">
        <f>ABS((DEGREES(ACOS((SIN(hmav)-SIN(deka)*SIN(AL50))/(COS(deka)*COS(AL50)))+IF(EW=TRUE,1,-1)*ACOS((SIN(hmb)-SIN(dekb)*SIN(AL50))/(COS(dekb)*COS(AL50)))))/15)-dt</f>
        <v>-6.8658006082511491E-4</v>
      </c>
      <c r="AO50" s="315"/>
      <c r="AQ50" s="204">
        <f t="shared" si="27"/>
        <v>27.341371603263916</v>
      </c>
      <c r="AR50" s="198">
        <f t="shared" si="14"/>
        <v>0.47719695648823612</v>
      </c>
      <c r="AS50" s="205">
        <f t="shared" si="15"/>
        <v>347.57202000675841</v>
      </c>
      <c r="AT50" s="206">
        <f t="shared" si="16"/>
        <v>-13.387781279156153</v>
      </c>
      <c r="AU50" s="207">
        <f t="shared" si="17"/>
        <v>347.10251036800832</v>
      </c>
      <c r="AV50" s="205">
        <f t="shared" si="18"/>
        <v>12.427979993241593</v>
      </c>
      <c r="AW50" s="206">
        <f t="shared" si="18"/>
        <v>13.387781279156153</v>
      </c>
      <c r="AX50" s="208">
        <f t="shared" si="19"/>
        <v>12.897489631991675</v>
      </c>
      <c r="AY50" s="203"/>
    </row>
    <row r="51" spans="1:51" ht="20" customHeight="1">
      <c r="L51" s="108"/>
      <c r="M51" s="108"/>
      <c r="N51" s="108"/>
      <c r="O51" s="108"/>
      <c r="P51" s="108"/>
      <c r="U51" s="108"/>
      <c r="AA51" s="341">
        <f t="shared" si="24"/>
        <v>1.3613568165555769</v>
      </c>
      <c r="AB51" s="338">
        <f t="shared" si="28"/>
        <v>78</v>
      </c>
      <c r="AC51" s="343">
        <f t="shared" si="25"/>
        <v>-1.3898668062978325</v>
      </c>
      <c r="AD51" s="110">
        <f t="shared" si="26"/>
        <v>0</v>
      </c>
      <c r="AE51" s="121"/>
      <c r="AF51" s="341">
        <f t="shared" si="23"/>
        <v>0.49043751981040717</v>
      </c>
      <c r="AG51" s="340">
        <f t="shared" si="21"/>
        <v>28.100000000000033</v>
      </c>
      <c r="AH51" s="344">
        <f t="shared" si="22"/>
        <v>-0.10978070522584416</v>
      </c>
      <c r="AI51" s="110">
        <f t="shared" si="3"/>
        <v>0</v>
      </c>
      <c r="AJ51" s="303"/>
      <c r="AK51" s="311"/>
      <c r="AL51" s="328" t="s">
        <v>92</v>
      </c>
      <c r="AM51" s="330">
        <f>AM49+IF($C$8="N",1,-1)*(AN49*0.006)/(AN49-AN50)</f>
        <v>27.525244021034233</v>
      </c>
      <c r="AN51" s="323"/>
      <c r="AO51" s="316"/>
      <c r="AQ51" s="204">
        <f t="shared" si="27"/>
        <v>27.316371603263917</v>
      </c>
      <c r="AR51" s="198">
        <f t="shared" si="14"/>
        <v>0.47676062417523757</v>
      </c>
      <c r="AS51" s="205">
        <f t="shared" si="15"/>
        <v>347.60998844207029</v>
      </c>
      <c r="AT51" s="206">
        <f t="shared" si="16"/>
        <v>-13.415147806049847</v>
      </c>
      <c r="AU51" s="207">
        <f t="shared" si="17"/>
        <v>347.14175291273125</v>
      </c>
      <c r="AV51" s="205">
        <f t="shared" si="18"/>
        <v>12.390011557929711</v>
      </c>
      <c r="AW51" s="206">
        <f t="shared" si="18"/>
        <v>13.415147806049847</v>
      </c>
      <c r="AX51" s="208">
        <f t="shared" si="19"/>
        <v>12.858247087268751</v>
      </c>
      <c r="AY51" s="203"/>
    </row>
    <row r="52" spans="1:51" ht="20" customHeight="1">
      <c r="K52" s="5"/>
      <c r="L52" s="108"/>
      <c r="M52" s="108"/>
      <c r="N52" s="108"/>
      <c r="O52" s="108"/>
      <c r="P52" s="108"/>
      <c r="U52" s="108"/>
      <c r="AA52" s="341">
        <f t="shared" si="24"/>
        <v>1.3613568165555769</v>
      </c>
      <c r="AB52" s="338">
        <f t="shared" si="28"/>
        <v>78</v>
      </c>
      <c r="AC52" s="343">
        <f t="shared" si="25"/>
        <v>-1.3898668062978325</v>
      </c>
      <c r="AD52" s="110">
        <f t="shared" si="26"/>
        <v>0</v>
      </c>
      <c r="AE52" s="121"/>
      <c r="AF52" s="341">
        <f t="shared" si="23"/>
        <v>0.49218284906240156</v>
      </c>
      <c r="AG52" s="340">
        <f t="shared" si="21"/>
        <v>28.200000000000035</v>
      </c>
      <c r="AH52" s="344">
        <f t="shared" si="22"/>
        <v>-0.12991933235888364</v>
      </c>
      <c r="AI52" s="110">
        <f t="shared" si="3"/>
        <v>0</v>
      </c>
      <c r="AJ52" s="303"/>
      <c r="AK52" s="312"/>
      <c r="AL52" s="329" t="s">
        <v>90</v>
      </c>
      <c r="AM52" s="331">
        <f>RADIANS(AM51)</f>
        <v>0.48040613558193068</v>
      </c>
      <c r="AN52" s="324"/>
      <c r="AO52" s="300"/>
      <c r="AQ52" s="204">
        <f t="shared" si="27"/>
        <v>27.291371603263919</v>
      </c>
      <c r="AR52" s="198">
        <f t="shared" si="14"/>
        <v>0.47632429186223901</v>
      </c>
      <c r="AS52" s="205">
        <f t="shared" si="15"/>
        <v>347.64780703121517</v>
      </c>
      <c r="AT52" s="206">
        <f t="shared" si="16"/>
        <v>-13.442437150379613</v>
      </c>
      <c r="AU52" s="207">
        <f t="shared" si="17"/>
        <v>347.18083426825501</v>
      </c>
      <c r="AV52" s="205">
        <f t="shared" si="18"/>
        <v>12.352192968784834</v>
      </c>
      <c r="AW52" s="206">
        <f t="shared" si="18"/>
        <v>13.442437150379613</v>
      </c>
      <c r="AX52" s="208">
        <f t="shared" si="19"/>
        <v>12.819165731744988</v>
      </c>
      <c r="AY52" s="203"/>
    </row>
    <row r="53" spans="1:51" ht="20" customHeight="1" thickBot="1">
      <c r="K53" s="5"/>
      <c r="L53" s="108"/>
      <c r="M53" s="108"/>
      <c r="N53" s="108"/>
      <c r="O53" s="108"/>
      <c r="P53" s="108"/>
      <c r="Q53" s="108"/>
      <c r="R53" s="108"/>
      <c r="S53" s="108"/>
      <c r="U53" s="108"/>
      <c r="AA53" s="341">
        <f t="shared" si="24"/>
        <v>1.3613568165555769</v>
      </c>
      <c r="AB53" s="338">
        <f t="shared" si="28"/>
        <v>78</v>
      </c>
      <c r="AC53" s="343">
        <f t="shared" si="25"/>
        <v>-1.3898668062978325</v>
      </c>
      <c r="AD53" s="110">
        <f t="shared" si="26"/>
        <v>0</v>
      </c>
      <c r="AE53" s="121"/>
      <c r="AF53" s="341">
        <f t="shared" si="23"/>
        <v>0.49392817831439589</v>
      </c>
      <c r="AG53" s="340">
        <f t="shared" si="21"/>
        <v>28.300000000000036</v>
      </c>
      <c r="AH53" s="344">
        <f t="shared" si="22"/>
        <v>-0.15039343089218038</v>
      </c>
      <c r="AI53" s="110">
        <f t="shared" si="3"/>
        <v>0</v>
      </c>
      <c r="AJ53" s="303"/>
      <c r="AK53" s="313"/>
      <c r="AL53" s="346" t="s">
        <v>91</v>
      </c>
      <c r="AM53" s="115">
        <f>ABS(ROUNDDOWN(Breite°,0))</f>
        <v>27</v>
      </c>
      <c r="AN53" s="116">
        <f>(ABS(Breite°)-AM53)*60</f>
        <v>31.514641262053971</v>
      </c>
      <c r="AO53" s="326" t="str">
        <f>IF(Breite°&gt;0,"N","S")</f>
        <v>N</v>
      </c>
      <c r="AQ53" s="204">
        <f t="shared" si="27"/>
        <v>27.26637160326392</v>
      </c>
      <c r="AR53" s="198">
        <f t="shared" si="14"/>
        <v>0.47588795954924046</v>
      </c>
      <c r="AS53" s="205">
        <f t="shared" si="15"/>
        <v>347.68547691763774</v>
      </c>
      <c r="AT53" s="206">
        <f t="shared" si="16"/>
        <v>-13.469649648403758</v>
      </c>
      <c r="AU53" s="207">
        <f t="shared" si="17"/>
        <v>347.21975574015698</v>
      </c>
      <c r="AV53" s="205">
        <f t="shared" si="18"/>
        <v>12.314523082362257</v>
      </c>
      <c r="AW53" s="206">
        <f t="shared" si="18"/>
        <v>13.469649648403758</v>
      </c>
      <c r="AX53" s="208">
        <f t="shared" si="19"/>
        <v>12.780244259843016</v>
      </c>
      <c r="AY53" s="203"/>
    </row>
    <row r="54" spans="1:51" ht="20" customHeight="1">
      <c r="L54" s="108"/>
      <c r="M54" s="108"/>
      <c r="N54" s="108"/>
      <c r="O54" s="108"/>
      <c r="P54" s="108"/>
      <c r="Q54" s="108"/>
      <c r="R54" s="108"/>
      <c r="S54" s="108"/>
      <c r="U54" s="108"/>
      <c r="AA54" s="341">
        <f t="shared" si="24"/>
        <v>1.3613568165555769</v>
      </c>
      <c r="AB54" s="338">
        <f t="shared" si="28"/>
        <v>78</v>
      </c>
      <c r="AC54" s="343">
        <f t="shared" si="25"/>
        <v>-1.3898668062978325</v>
      </c>
      <c r="AD54" s="110">
        <f t="shared" si="26"/>
        <v>0</v>
      </c>
      <c r="AE54" s="121"/>
      <c r="AF54" s="341">
        <f t="shared" si="23"/>
        <v>0.49567350756639023</v>
      </c>
      <c r="AG54" s="340">
        <f t="shared" si="21"/>
        <v>28.400000000000038</v>
      </c>
      <c r="AH54" s="344">
        <f t="shared" si="22"/>
        <v>-0.17121537038192702</v>
      </c>
      <c r="AI54" s="110">
        <f t="shared" si="3"/>
        <v>0</v>
      </c>
      <c r="AJ54" s="303"/>
      <c r="AK54" s="332" t="s">
        <v>93</v>
      </c>
      <c r="AL54" s="347" t="s">
        <v>37</v>
      </c>
      <c r="AM54" s="350">
        <f>DEGREES(ACOS((SIN(hmav)-SIN(deka)*SIN(Breite))/COS(deka)/COS(Breite)))</f>
        <v>14.582876817083436</v>
      </c>
      <c r="AN54" s="333">
        <f>RADIANS(AM54)</f>
        <v>0.25451921487085682</v>
      </c>
      <c r="AO54" s="299"/>
      <c r="AP54" s="12"/>
      <c r="AQ54" s="204">
        <f t="shared" si="27"/>
        <v>27.241371603263921</v>
      </c>
      <c r="AR54" s="198">
        <f t="shared" si="14"/>
        <v>0.4754516272362419</v>
      </c>
      <c r="AS54" s="205">
        <f t="shared" si="15"/>
        <v>347.72299922928755</v>
      </c>
      <c r="AT54" s="206">
        <f t="shared" si="16"/>
        <v>-13.496785633711118</v>
      </c>
      <c r="AU54" s="207">
        <f t="shared" si="17"/>
        <v>347.25851861528696</v>
      </c>
      <c r="AV54" s="205">
        <f t="shared" si="18"/>
        <v>12.277000770712448</v>
      </c>
      <c r="AW54" s="206">
        <f t="shared" si="18"/>
        <v>13.496785633711118</v>
      </c>
      <c r="AX54" s="208">
        <f t="shared" si="19"/>
        <v>12.74148138471304</v>
      </c>
      <c r="AY54" s="203"/>
    </row>
    <row r="55" spans="1:51" ht="20" customHeight="1"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AA55" s="341">
        <f t="shared" si="24"/>
        <v>1.3613568165555769</v>
      </c>
      <c r="AB55" s="338">
        <f t="shared" si="28"/>
        <v>78</v>
      </c>
      <c r="AC55" s="343">
        <f t="shared" si="25"/>
        <v>-1.3898668062978325</v>
      </c>
      <c r="AD55" s="110">
        <f t="shared" si="26"/>
        <v>0</v>
      </c>
      <c r="AE55" s="121"/>
      <c r="AF55" s="341">
        <f t="shared" si="23"/>
        <v>0.49741883681838461</v>
      </c>
      <c r="AG55" s="340">
        <f t="shared" si="21"/>
        <v>28.500000000000039</v>
      </c>
      <c r="AH55" s="344">
        <f t="shared" si="22"/>
        <v>-0.19239841784001266</v>
      </c>
      <c r="AI55" s="110">
        <f t="shared" si="3"/>
        <v>0</v>
      </c>
      <c r="AJ55" s="121"/>
      <c r="AK55" s="312"/>
      <c r="AL55" s="348" t="s">
        <v>36</v>
      </c>
      <c r="AM55" s="351">
        <f>Q39</f>
        <v>332.22592624218265</v>
      </c>
      <c r="AN55" s="329">
        <f t="shared" ref="AN55:AN58" si="29">RADIANS(AM55)</f>
        <v>5.7984362734139197</v>
      </c>
      <c r="AO55" s="298"/>
      <c r="AP55" s="12"/>
      <c r="AQ55" s="204">
        <f t="shared" si="27"/>
        <v>27.216371603263923</v>
      </c>
      <c r="AR55" s="198">
        <f t="shared" si="14"/>
        <v>0.47501529492324335</v>
      </c>
      <c r="AS55" s="205">
        <f t="shared" si="15"/>
        <v>347.76037507891436</v>
      </c>
      <c r="AT55" s="206">
        <f t="shared" si="16"/>
        <v>-13.523845437250598</v>
      </c>
      <c r="AU55" s="207">
        <f t="shared" si="17"/>
        <v>347.297124162145</v>
      </c>
      <c r="AV55" s="205">
        <f t="shared" si="18"/>
        <v>12.239624921085635</v>
      </c>
      <c r="AW55" s="206">
        <f t="shared" si="18"/>
        <v>13.523845437250598</v>
      </c>
      <c r="AX55" s="208">
        <f t="shared" si="19"/>
        <v>12.702875837855004</v>
      </c>
      <c r="AY55" s="203"/>
    </row>
    <row r="56" spans="1:51" ht="20" customHeight="1">
      <c r="A56" s="434"/>
      <c r="B56" s="434"/>
      <c r="C56" s="434"/>
      <c r="D56" s="434"/>
      <c r="E56" s="434"/>
      <c r="F56" s="434"/>
      <c r="G56" s="434"/>
      <c r="H56" s="434"/>
      <c r="I56" s="434"/>
      <c r="J56" s="434"/>
      <c r="K56" s="434"/>
      <c r="L56" s="434"/>
      <c r="M56" s="434"/>
      <c r="N56" s="108"/>
      <c r="O56" s="108"/>
      <c r="P56" s="108"/>
      <c r="Q56" s="108"/>
      <c r="R56" s="108"/>
      <c r="S56" s="108"/>
      <c r="T56" s="108"/>
      <c r="U56" s="108"/>
      <c r="AA56" s="341">
        <f t="shared" si="24"/>
        <v>1.3613568165555769</v>
      </c>
      <c r="AB56" s="338">
        <f t="shared" si="28"/>
        <v>78</v>
      </c>
      <c r="AC56" s="343">
        <f t="shared" si="25"/>
        <v>-1.3898668062978325</v>
      </c>
      <c r="AD56" s="110">
        <f t="shared" si="26"/>
        <v>0</v>
      </c>
      <c r="AE56" s="121"/>
      <c r="AF56" s="341">
        <f t="shared" si="23"/>
        <v>0.49916416607037895</v>
      </c>
      <c r="AG56" s="340">
        <f t="shared" si="21"/>
        <v>28.600000000000041</v>
      </c>
      <c r="AH56" s="344">
        <f t="shared" si="22"/>
        <v>-0.21395683704907498</v>
      </c>
      <c r="AI56" s="110">
        <f t="shared" si="3"/>
        <v>0</v>
      </c>
      <c r="AJ56" s="121"/>
      <c r="AK56" s="312"/>
      <c r="AL56" s="348" t="s">
        <v>38</v>
      </c>
      <c r="AM56" s="351">
        <f>AM55+IF(dira="E",1,-1)*AM54</f>
        <v>346.8088030592661</v>
      </c>
      <c r="AN56" s="329">
        <f t="shared" si="29"/>
        <v>6.052955488284776</v>
      </c>
      <c r="AO56" s="298"/>
      <c r="AP56" s="12"/>
      <c r="AQ56" s="204">
        <f t="shared" si="27"/>
        <v>27.191371603263924</v>
      </c>
      <c r="AR56" s="198">
        <f t="shared" si="14"/>
        <v>0.47457896261024479</v>
      </c>
      <c r="AS56" s="205">
        <f t="shared" si="15"/>
        <v>347.79760556435713</v>
      </c>
      <c r="AT56" s="206">
        <f t="shared" si="16"/>
        <v>-13.550829387360805</v>
      </c>
      <c r="AU56" s="207">
        <f t="shared" si="17"/>
        <v>347.33557363124964</v>
      </c>
      <c r="AV56" s="205">
        <f t="shared" si="18"/>
        <v>12.202394435642873</v>
      </c>
      <c r="AW56" s="206">
        <f t="shared" si="18"/>
        <v>13.550829387360805</v>
      </c>
      <c r="AX56" s="208">
        <f t="shared" si="19"/>
        <v>12.664426368750355</v>
      </c>
      <c r="AY56" s="203"/>
    </row>
    <row r="57" spans="1:51" ht="20" customHeight="1" thickBot="1">
      <c r="B57" s="13" t="s">
        <v>58</v>
      </c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AA57" s="341">
        <f t="shared" si="24"/>
        <v>1.3613568165555769</v>
      </c>
      <c r="AB57" s="338">
        <f t="shared" si="28"/>
        <v>78</v>
      </c>
      <c r="AC57" s="343">
        <f t="shared" si="25"/>
        <v>-1.3898668062978325</v>
      </c>
      <c r="AD57" s="110">
        <f t="shared" si="26"/>
        <v>0</v>
      </c>
      <c r="AE57" s="121"/>
      <c r="AF57" s="341">
        <f t="shared" si="23"/>
        <v>0.50090949532237328</v>
      </c>
      <c r="AG57" s="340">
        <f t="shared" si="21"/>
        <v>28.700000000000042</v>
      </c>
      <c r="AH57" s="344">
        <f t="shared" si="22"/>
        <v>-0.23590600289951613</v>
      </c>
      <c r="AI57" s="110">
        <f t="shared" si="3"/>
        <v>0</v>
      </c>
      <c r="AJ57" s="121"/>
      <c r="AK57" s="312"/>
      <c r="AL57" s="349" t="s">
        <v>39</v>
      </c>
      <c r="AM57" s="351">
        <f>IF(AM56&lt;0,ABS(AM56),IF(AM56&gt;360,-(AM56-360),IF(AND(AM56&gt;180,AM56&lt;360),360-AM56,-AM56)))</f>
        <v>13.191196940733903</v>
      </c>
      <c r="AN57" s="329">
        <f t="shared" si="29"/>
        <v>0.23022981889480992</v>
      </c>
      <c r="AO57" s="298"/>
      <c r="AP57" s="12"/>
      <c r="AQ57" s="204">
        <f t="shared" si="27"/>
        <v>27.166371603263926</v>
      </c>
      <c r="AR57" s="210">
        <f t="shared" si="14"/>
        <v>0.47414263029724624</v>
      </c>
      <c r="AS57" s="205">
        <f t="shared" si="15"/>
        <v>347.83469176882454</v>
      </c>
      <c r="AT57" s="206">
        <f t="shared" si="16"/>
        <v>-13.577737809798933</v>
      </c>
      <c r="AU57" s="207">
        <f t="shared" si="17"/>
        <v>347.37386825549635</v>
      </c>
      <c r="AV57" s="205">
        <f t="shared" si="18"/>
        <v>12.165308231175459</v>
      </c>
      <c r="AW57" s="206">
        <f t="shared" si="18"/>
        <v>13.577737809798933</v>
      </c>
      <c r="AX57" s="211">
        <f t="shared" si="19"/>
        <v>12.626131744503652</v>
      </c>
      <c r="AY57" s="212"/>
    </row>
    <row r="58" spans="1:51" ht="20" customHeight="1">
      <c r="B58" s="145" t="s">
        <v>59</v>
      </c>
      <c r="C58" s="421">
        <f>G13</f>
        <v>0.42509259259259258</v>
      </c>
      <c r="D58" s="422"/>
      <c r="E58" s="421">
        <f>G21</f>
        <v>0.52248842592592593</v>
      </c>
      <c r="F58" s="427"/>
      <c r="G58" s="422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AA58" s="341">
        <f t="shared" si="24"/>
        <v>1.3613568165555769</v>
      </c>
      <c r="AB58" s="338">
        <f t="shared" si="28"/>
        <v>78</v>
      </c>
      <c r="AC58" s="343">
        <f t="shared" si="25"/>
        <v>-1.3898668062978325</v>
      </c>
      <c r="AD58" s="110">
        <f t="shared" si="26"/>
        <v>0</v>
      </c>
      <c r="AE58" s="121"/>
      <c r="AF58" s="341">
        <f t="shared" si="23"/>
        <v>0.50265482457436772</v>
      </c>
      <c r="AG58" s="340">
        <f t="shared" si="21"/>
        <v>28.800000000000043</v>
      </c>
      <c r="AH58" s="344">
        <f t="shared" si="22"/>
        <v>-0.25826253366362151</v>
      </c>
      <c r="AI58" s="110">
        <f t="shared" si="3"/>
        <v>0</v>
      </c>
      <c r="AJ58" s="121"/>
      <c r="AK58" s="312"/>
      <c r="AL58" s="349" t="s">
        <v>40</v>
      </c>
      <c r="AM58" s="351">
        <f>IF(AM57&lt;180,AM57,360-AM57)</f>
        <v>13.191196940733903</v>
      </c>
      <c r="AN58" s="329">
        <f t="shared" si="29"/>
        <v>0.23022981889480992</v>
      </c>
      <c r="AO58" s="325"/>
      <c r="AQ58" s="213">
        <f>AQ59-vb</f>
        <v>27.807499185493562</v>
      </c>
      <c r="AR58" s="214"/>
      <c r="AS58" s="215"/>
      <c r="AT58" s="216"/>
      <c r="AU58" s="217"/>
      <c r="AV58" s="218"/>
      <c r="AW58" s="219"/>
      <c r="AX58" s="220"/>
      <c r="AY58" s="221">
        <f>AY59-vl</f>
        <v>13.163350838224826</v>
      </c>
    </row>
    <row r="59" spans="1:51" ht="20" customHeight="1" thickBot="1">
      <c r="B59" s="146" t="s">
        <v>60</v>
      </c>
      <c r="C59" s="147">
        <f>INT(Q39)</f>
        <v>332</v>
      </c>
      <c r="D59" s="148">
        <f>(Q39-C59)*60</f>
        <v>13.55557453095912</v>
      </c>
      <c r="E59" s="149"/>
      <c r="F59" s="147">
        <f>INT(R39)</f>
        <v>7</v>
      </c>
      <c r="G59" s="150">
        <f>(R39-F59)*60</f>
        <v>17.731553737166745</v>
      </c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AA59" s="341">
        <f t="shared" si="24"/>
        <v>1.3613568165555769</v>
      </c>
      <c r="AB59" s="338">
        <f t="shared" si="28"/>
        <v>78</v>
      </c>
      <c r="AC59" s="343">
        <f t="shared" si="25"/>
        <v>-1.3898668062978325</v>
      </c>
      <c r="AD59" s="110"/>
      <c r="AE59" s="121"/>
      <c r="AF59" s="341">
        <f t="shared" si="23"/>
        <v>0.50440015382636205</v>
      </c>
      <c r="AG59" s="340">
        <f t="shared" si="21"/>
        <v>28.900000000000045</v>
      </c>
      <c r="AH59" s="344">
        <f t="shared" si="22"/>
        <v>-0.2810444448199001</v>
      </c>
      <c r="AI59" s="110"/>
      <c r="AJ59" s="121"/>
      <c r="AK59" s="313"/>
      <c r="AL59" s="352" t="s">
        <v>91</v>
      </c>
      <c r="AM59" s="322">
        <f>ABS(ROUNDDOWN(AM58,0))</f>
        <v>13</v>
      </c>
      <c r="AN59" s="116">
        <f>(ABS(AM58)-AM59)*60</f>
        <v>11.471816444034175</v>
      </c>
      <c r="AO59" s="326" t="str">
        <f>IF(AM57&gt;0,"E","W")</f>
        <v>E</v>
      </c>
      <c r="AQ59" s="222">
        <f>Breite°</f>
        <v>27.525244021034233</v>
      </c>
      <c r="AR59" s="223"/>
      <c r="AS59" s="224"/>
      <c r="AT59" s="225"/>
      <c r="AU59" s="226"/>
      <c r="AV59" s="227"/>
      <c r="AW59" s="228"/>
      <c r="AX59" s="229"/>
      <c r="AY59" s="230">
        <f>AM57</f>
        <v>13.191196940733903</v>
      </c>
    </row>
    <row r="60" spans="1:51" ht="20" customHeight="1">
      <c r="B60" s="151" t="s">
        <v>61</v>
      </c>
      <c r="C60" s="152">
        <f>ROUNDDOWN(Q40,0)</f>
        <v>5</v>
      </c>
      <c r="D60" s="153">
        <f>(Q40-C60)*60</f>
        <v>28.634519852318956</v>
      </c>
      <c r="E60" s="154"/>
      <c r="F60" s="152">
        <f>ROUNDDOWN(R40,0)</f>
        <v>5</v>
      </c>
      <c r="G60" s="155">
        <f>(R40-F60)*60</f>
        <v>30.868373339067912</v>
      </c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249"/>
      <c r="AA60" s="111"/>
      <c r="AB60" s="111"/>
      <c r="AC60" s="111"/>
      <c r="AD60" s="112"/>
      <c r="AE60" s="121"/>
      <c r="AF60" s="112"/>
      <c r="AG60" s="112"/>
      <c r="AH60" s="101"/>
      <c r="AI60" s="101"/>
      <c r="AJ60" s="121"/>
      <c r="AK60" s="121"/>
    </row>
    <row r="61" spans="1:51" ht="20" customHeight="1">
      <c r="B61" s="156" t="s">
        <v>62</v>
      </c>
      <c r="C61" s="152">
        <f>ROUNDDOWN(LHA,0)</f>
        <v>345</v>
      </c>
      <c r="D61" s="153">
        <f>(LHA-C61)*60</f>
        <v>25.027390974996706</v>
      </c>
      <c r="E61" s="157"/>
      <c r="F61" s="158"/>
      <c r="G61" s="159"/>
      <c r="K61" s="67"/>
      <c r="P61" s="237"/>
      <c r="Q61" s="237"/>
      <c r="R61" s="237"/>
      <c r="S61" s="237"/>
      <c r="T61" s="237"/>
      <c r="U61" s="237"/>
      <c r="V61" s="237"/>
      <c r="W61" s="237"/>
      <c r="X61" s="237"/>
      <c r="Y61" s="250"/>
      <c r="Z61" s="336"/>
      <c r="AA61" s="250"/>
      <c r="AB61" s="336"/>
      <c r="AC61" s="250"/>
      <c r="AD61" s="336"/>
      <c r="AE61" s="121"/>
      <c r="AF61" s="121"/>
      <c r="AG61" s="121"/>
      <c r="AH61" s="121"/>
      <c r="AI61" s="121"/>
      <c r="AJ61" s="121"/>
      <c r="AK61" s="121"/>
    </row>
    <row r="62" spans="1:51" ht="20" customHeight="1">
      <c r="B62" s="151" t="s">
        <v>63</v>
      </c>
      <c r="C62" s="152">
        <f>INT(W8)</f>
        <v>145</v>
      </c>
      <c r="D62" s="153">
        <f>(W8-C62)*60</f>
        <v>0.53297913800520291</v>
      </c>
      <c r="E62" s="154"/>
      <c r="F62" s="152"/>
      <c r="G62" s="155"/>
      <c r="P62" s="236"/>
      <c r="Q62" s="236"/>
      <c r="R62" s="236"/>
      <c r="S62" s="236"/>
      <c r="T62" s="236"/>
      <c r="U62" s="236"/>
      <c r="V62" s="236"/>
      <c r="W62" s="236"/>
      <c r="X62" s="236"/>
      <c r="Y62" s="250"/>
      <c r="Z62" s="336"/>
      <c r="AA62" s="250"/>
      <c r="AB62" s="336"/>
      <c r="AC62" s="250"/>
      <c r="AD62" s="336"/>
      <c r="AE62" s="121"/>
      <c r="AF62" s="121"/>
      <c r="AG62" s="121"/>
      <c r="AH62" s="121"/>
      <c r="AI62" s="121"/>
      <c r="AJ62" s="121"/>
      <c r="AK62" s="121"/>
      <c r="AO62" s="88"/>
    </row>
    <row r="63" spans="1:51" ht="20" customHeight="1">
      <c r="B63" s="160" t="s">
        <v>86</v>
      </c>
      <c r="C63" s="301">
        <f>N12</f>
        <v>63</v>
      </c>
      <c r="D63" s="161">
        <f>O12</f>
        <v>42.432797783134077</v>
      </c>
      <c r="E63" s="162"/>
      <c r="F63" s="301">
        <f>P12</f>
        <v>60</v>
      </c>
      <c r="G63" s="163">
        <f>Q12</f>
        <v>36.769251792344448</v>
      </c>
      <c r="P63" s="235"/>
      <c r="Q63" s="235"/>
      <c r="R63" s="235"/>
      <c r="S63" s="235"/>
      <c r="T63" s="235"/>
      <c r="U63" s="235"/>
      <c r="V63" s="235"/>
      <c r="W63" s="235"/>
      <c r="X63" s="235"/>
      <c r="Y63" s="250"/>
      <c r="Z63" s="336"/>
      <c r="AA63" s="250"/>
      <c r="AB63" s="336"/>
      <c r="AC63" s="250"/>
      <c r="AD63" s="336"/>
      <c r="AE63" s="121"/>
      <c r="AF63" s="121"/>
      <c r="AG63" s="121"/>
      <c r="AH63" s="121"/>
      <c r="AI63" s="121"/>
      <c r="AJ63" s="121"/>
      <c r="AK63" s="121"/>
      <c r="AL63" s="75"/>
      <c r="AM63" s="75"/>
      <c r="AN63" s="83"/>
      <c r="AO63" s="88"/>
    </row>
    <row r="64" spans="1:51" s="264" customFormat="1" ht="20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35"/>
      <c r="Q64" s="235"/>
      <c r="R64" s="235"/>
      <c r="S64" s="235"/>
      <c r="T64" s="235"/>
      <c r="U64" s="235"/>
      <c r="V64" s="235"/>
      <c r="W64" s="235"/>
      <c r="X64" s="235"/>
      <c r="Y64" s="265"/>
      <c r="Z64" s="336"/>
      <c r="AA64" s="265"/>
      <c r="AB64" s="336"/>
      <c r="AC64" s="265"/>
      <c r="AD64" s="336"/>
      <c r="AE64" s="121"/>
      <c r="AF64" s="121"/>
      <c r="AG64" s="121"/>
      <c r="AH64" s="121"/>
      <c r="AI64" s="121"/>
      <c r="AJ64" s="121"/>
      <c r="AK64" s="121"/>
      <c r="AL64" s="72"/>
      <c r="AM64" s="75"/>
      <c r="AN64" s="75"/>
      <c r="AO64" s="88"/>
    </row>
    <row r="65" spans="9:41" ht="20" customHeight="1">
      <c r="I65" s="9"/>
      <c r="J65" s="9"/>
      <c r="P65" s="235"/>
      <c r="Q65" s="235"/>
      <c r="R65" s="235"/>
      <c r="S65" s="235"/>
      <c r="T65" s="235"/>
      <c r="U65" s="235"/>
      <c r="V65" s="235"/>
      <c r="W65" s="235"/>
      <c r="X65" s="235"/>
      <c r="Y65" s="126"/>
      <c r="Z65" s="336"/>
      <c r="AA65" s="126"/>
      <c r="AB65" s="336"/>
      <c r="AC65" s="126"/>
      <c r="AD65" s="336"/>
      <c r="AE65" s="121"/>
      <c r="AF65" s="121"/>
      <c r="AG65" s="121"/>
      <c r="AH65" s="121"/>
      <c r="AI65" s="121"/>
      <c r="AJ65" s="121"/>
      <c r="AK65" s="121"/>
      <c r="AL65" s="72"/>
      <c r="AM65" s="28"/>
      <c r="AN65" s="28"/>
      <c r="AO65" s="88"/>
    </row>
    <row r="66" spans="9:41" ht="20" customHeight="1">
      <c r="I66" s="9"/>
      <c r="J66" s="9"/>
      <c r="P66" s="235"/>
      <c r="Q66" s="235"/>
      <c r="R66" s="235"/>
      <c r="S66" s="235"/>
      <c r="T66" s="235"/>
      <c r="U66" s="235"/>
      <c r="V66" s="235"/>
      <c r="W66" s="235"/>
      <c r="X66" s="235"/>
      <c r="Y66" s="20"/>
      <c r="Z66" s="336"/>
      <c r="AA66" s="20"/>
      <c r="AB66" s="336"/>
      <c r="AC66" s="20"/>
      <c r="AD66" s="336"/>
      <c r="AE66" s="121"/>
      <c r="AF66" s="121"/>
      <c r="AG66" s="121"/>
      <c r="AH66" s="121"/>
      <c r="AI66" s="121"/>
      <c r="AJ66" s="121"/>
      <c r="AK66" s="121"/>
      <c r="AL66" s="72"/>
      <c r="AM66" s="28"/>
      <c r="AN66" s="28"/>
      <c r="AO66" s="88"/>
    </row>
    <row r="67" spans="9:41" ht="20" customHeight="1">
      <c r="I67" s="9"/>
      <c r="J67" s="9"/>
      <c r="P67" s="235"/>
      <c r="Q67" s="235"/>
      <c r="R67" s="235"/>
      <c r="S67" s="235"/>
      <c r="T67" s="235"/>
      <c r="U67" s="235"/>
      <c r="V67" s="235"/>
      <c r="W67" s="235"/>
      <c r="X67" s="235"/>
      <c r="Y67" s="108"/>
      <c r="Z67" s="336"/>
      <c r="AA67" s="108"/>
      <c r="AB67" s="336"/>
      <c r="AC67" s="108"/>
      <c r="AD67" s="336"/>
      <c r="AE67" s="121"/>
      <c r="AF67" s="121"/>
      <c r="AG67" s="121"/>
      <c r="AH67" s="121"/>
      <c r="AI67" s="121"/>
      <c r="AJ67" s="121"/>
      <c r="AK67" s="121"/>
      <c r="AL67" s="119"/>
      <c r="AM67" s="144"/>
      <c r="AN67" s="136"/>
      <c r="AO67" s="88"/>
    </row>
    <row r="68" spans="9:41" ht="20" customHeight="1">
      <c r="I68" s="9"/>
      <c r="J68" s="9"/>
      <c r="P68" s="235"/>
      <c r="Q68" s="235"/>
      <c r="R68" s="235"/>
      <c r="S68" s="235"/>
      <c r="T68" s="235"/>
      <c r="U68" s="235"/>
      <c r="V68" s="235"/>
      <c r="W68" s="235"/>
      <c r="X68" s="235"/>
      <c r="Y68" s="108"/>
      <c r="Z68" s="336"/>
      <c r="AA68" s="108"/>
      <c r="AB68" s="336"/>
      <c r="AC68" s="108"/>
      <c r="AD68" s="336"/>
      <c r="AE68" s="121"/>
      <c r="AF68" s="121"/>
      <c r="AG68" s="121"/>
      <c r="AH68" s="121"/>
      <c r="AI68" s="121"/>
      <c r="AJ68" s="121"/>
      <c r="AK68" s="121"/>
      <c r="AL68" s="119"/>
      <c r="AM68" s="144"/>
      <c r="AN68" s="136"/>
      <c r="AO68" s="88"/>
    </row>
    <row r="69" spans="9:41" ht="20" customHeight="1">
      <c r="I69" s="9"/>
      <c r="J69" s="9"/>
      <c r="T69" s="108"/>
      <c r="U69" s="117"/>
      <c r="V69" s="108"/>
      <c r="W69" s="108"/>
      <c r="X69" s="108"/>
      <c r="Y69" s="108"/>
      <c r="Z69" s="336"/>
      <c r="AA69" s="108"/>
      <c r="AB69" s="336"/>
      <c r="AC69" s="108"/>
      <c r="AD69" s="336"/>
      <c r="AE69" s="121"/>
      <c r="AF69" s="121"/>
      <c r="AG69" s="121"/>
      <c r="AH69" s="121"/>
      <c r="AI69" s="121"/>
      <c r="AJ69" s="121"/>
      <c r="AK69" s="121"/>
      <c r="AL69" s="119"/>
      <c r="AM69" s="144"/>
      <c r="AN69" s="136"/>
      <c r="AO69" s="88"/>
    </row>
    <row r="70" spans="9:41" ht="20" customHeight="1">
      <c r="I70" s="9"/>
      <c r="J70" s="9"/>
      <c r="K70" s="67"/>
      <c r="L70" s="108"/>
      <c r="M70" s="108"/>
      <c r="N70" s="108"/>
      <c r="O70" s="108"/>
      <c r="Q70" s="108"/>
      <c r="R70" s="108"/>
      <c r="S70" s="117"/>
      <c r="T70" s="108"/>
      <c r="U70" s="117"/>
      <c r="W70" s="108"/>
      <c r="X70" s="108"/>
      <c r="Y70" s="108"/>
      <c r="Z70" s="108"/>
      <c r="AA70" s="108"/>
      <c r="AB70" s="336"/>
      <c r="AC70" s="108"/>
      <c r="AD70" s="336"/>
      <c r="AE70" s="121"/>
      <c r="AF70" s="121"/>
      <c r="AG70" s="121"/>
      <c r="AH70" s="121"/>
      <c r="AI70" s="121"/>
      <c r="AJ70" s="121"/>
      <c r="AK70" s="121"/>
      <c r="AL70" s="119"/>
      <c r="AM70" s="144"/>
      <c r="AN70" s="136"/>
      <c r="AO70" s="88"/>
    </row>
    <row r="71" spans="9:41" ht="20" customHeight="1">
      <c r="I71" s="9"/>
      <c r="J71" s="9"/>
      <c r="K71" s="67"/>
      <c r="L71" s="108"/>
      <c r="M71" s="108"/>
      <c r="N71" s="108"/>
      <c r="O71" s="108"/>
      <c r="Q71" s="108"/>
      <c r="R71" s="108"/>
      <c r="S71" s="108"/>
      <c r="T71" s="108"/>
      <c r="U71" s="108"/>
      <c r="W71" s="108"/>
      <c r="X71" s="108"/>
      <c r="Y71" s="108"/>
      <c r="Z71" s="108"/>
      <c r="AE71" s="121"/>
    </row>
    <row r="72" spans="9:41" ht="20" customHeight="1">
      <c r="I72" s="9"/>
      <c r="J72" s="9"/>
      <c r="K72" s="67"/>
      <c r="L72" s="108"/>
      <c r="M72" s="108"/>
      <c r="N72" s="108"/>
      <c r="O72" s="108"/>
      <c r="Q72" s="108"/>
      <c r="R72" s="108"/>
      <c r="S72" s="108"/>
      <c r="T72" s="123"/>
      <c r="U72" s="124"/>
      <c r="W72" s="108"/>
      <c r="X72" s="108"/>
      <c r="Y72" s="108"/>
      <c r="Z72" s="108"/>
      <c r="AA72" s="69"/>
      <c r="AB72" s="73"/>
      <c r="AC72" s="73"/>
      <c r="AD72" s="71"/>
      <c r="AE72" s="121"/>
      <c r="AF72" s="71"/>
      <c r="AG72" s="71"/>
      <c r="AH72" s="71"/>
      <c r="AI72" s="71"/>
      <c r="AJ72" s="71"/>
      <c r="AK72" s="71"/>
      <c r="AL72" s="71"/>
      <c r="AM72" s="71"/>
      <c r="AN72" s="71"/>
      <c r="AO72" s="70"/>
    </row>
    <row r="73" spans="9:41" ht="20" customHeight="1">
      <c r="I73" s="9"/>
      <c r="J73" s="9"/>
      <c r="K73" s="67"/>
      <c r="L73" s="108"/>
      <c r="M73" s="108"/>
      <c r="N73" s="108"/>
      <c r="O73" s="108"/>
      <c r="Q73" s="108"/>
      <c r="R73" s="108"/>
      <c r="W73" s="108"/>
      <c r="X73" s="108"/>
      <c r="Y73" s="108"/>
      <c r="Z73" s="108"/>
      <c r="AA73" s="69"/>
      <c r="AB73" s="73"/>
      <c r="AC73" s="73"/>
      <c r="AD73" s="73"/>
      <c r="AE73" s="121"/>
      <c r="AF73" s="73"/>
      <c r="AG73" s="73"/>
      <c r="AH73" s="73"/>
      <c r="AI73" s="73"/>
      <c r="AJ73" s="73"/>
      <c r="AK73" s="73"/>
      <c r="AL73" s="73"/>
      <c r="AM73" s="73"/>
      <c r="AN73" s="73"/>
      <c r="AO73" s="73"/>
    </row>
    <row r="74" spans="9:41" ht="20" customHeight="1">
      <c r="I74" s="9"/>
      <c r="J74" s="9"/>
      <c r="K74" s="67"/>
      <c r="L74" s="108"/>
      <c r="M74" s="108"/>
      <c r="N74" s="108"/>
      <c r="O74" s="108"/>
      <c r="Q74" s="108"/>
      <c r="R74" s="108"/>
      <c r="W74" s="108"/>
      <c r="X74" s="108"/>
      <c r="Y74" s="108"/>
      <c r="AA74" s="69"/>
      <c r="AB74" s="69"/>
      <c r="AC74" s="69"/>
      <c r="AD74" s="69"/>
      <c r="AE74" s="121"/>
      <c r="AF74" s="69"/>
      <c r="AG74" s="69"/>
      <c r="AH74" s="69"/>
      <c r="AI74" s="69"/>
      <c r="AJ74" s="69"/>
      <c r="AK74" s="69"/>
      <c r="AL74" s="69"/>
      <c r="AM74" s="69"/>
      <c r="AN74" s="69"/>
      <c r="AO74" s="69"/>
    </row>
    <row r="75" spans="9:41" ht="20" customHeight="1">
      <c r="I75" s="9"/>
      <c r="J75" s="9"/>
      <c r="K75" s="67"/>
      <c r="L75" s="108"/>
      <c r="M75" s="108"/>
      <c r="N75" s="108"/>
      <c r="O75" s="108"/>
      <c r="Q75" s="108"/>
      <c r="R75" s="108"/>
      <c r="S75" s="108"/>
      <c r="W75" s="108"/>
      <c r="X75" s="108"/>
      <c r="Y75" s="108"/>
      <c r="AA75" s="69"/>
      <c r="AB75" s="69"/>
      <c r="AC75" s="69"/>
      <c r="AD75" s="69"/>
      <c r="AE75" s="121"/>
      <c r="AF75" s="69"/>
      <c r="AG75" s="69"/>
      <c r="AH75" s="69"/>
      <c r="AI75" s="69"/>
      <c r="AJ75" s="69"/>
      <c r="AK75" s="69"/>
      <c r="AL75" s="69"/>
      <c r="AM75" s="69"/>
      <c r="AN75" s="69"/>
      <c r="AO75" s="69"/>
    </row>
    <row r="76" spans="9:41" ht="20" customHeight="1">
      <c r="I76" s="9"/>
      <c r="J76" s="9"/>
      <c r="K76" s="5"/>
      <c r="L76" s="108"/>
      <c r="M76" s="108"/>
      <c r="N76" s="108"/>
      <c r="O76" s="108"/>
      <c r="Q76" s="108"/>
      <c r="R76" s="108"/>
      <c r="S76" s="108"/>
      <c r="W76" s="108"/>
      <c r="X76" s="108"/>
      <c r="Y76" s="108"/>
      <c r="AA76" s="69"/>
      <c r="AB76" s="69"/>
      <c r="AC76" s="69"/>
      <c r="AD76" s="69"/>
      <c r="AE76" s="121"/>
      <c r="AF76" s="69"/>
      <c r="AG76" s="69"/>
      <c r="AH76" s="69"/>
      <c r="AI76" s="69"/>
      <c r="AJ76" s="69"/>
      <c r="AK76" s="69"/>
      <c r="AL76" s="69"/>
      <c r="AM76" s="69"/>
      <c r="AN76" s="69"/>
      <c r="AO76" s="69"/>
    </row>
    <row r="77" spans="9:41" ht="20" customHeight="1">
      <c r="I77" s="9"/>
      <c r="J77" s="9"/>
      <c r="K77" s="5"/>
      <c r="L77" s="108"/>
      <c r="M77" s="108"/>
      <c r="N77" s="108"/>
      <c r="O77" s="108"/>
      <c r="Q77" s="108"/>
      <c r="R77" s="108"/>
      <c r="S77" s="108"/>
      <c r="W77" s="108"/>
      <c r="X77" s="108"/>
      <c r="Y77" s="108"/>
      <c r="AA77" s="99"/>
      <c r="AB77" s="73"/>
      <c r="AC77" s="73"/>
      <c r="AD77" s="73"/>
      <c r="AE77" s="121"/>
      <c r="AF77" s="73"/>
      <c r="AG77" s="73"/>
      <c r="AH77" s="73"/>
      <c r="AI77" s="73"/>
      <c r="AJ77" s="73"/>
      <c r="AK77" s="73"/>
      <c r="AL77" s="73"/>
      <c r="AM77" s="73"/>
      <c r="AN77" s="73"/>
      <c r="AO77" s="73"/>
    </row>
    <row r="78" spans="9:41" ht="20" customHeight="1">
      <c r="I78" s="9"/>
      <c r="J78" s="9"/>
      <c r="K78" s="5"/>
      <c r="L78" s="108"/>
      <c r="M78" s="108"/>
      <c r="N78" s="108"/>
      <c r="O78" s="108"/>
      <c r="Q78" s="108"/>
      <c r="R78" s="108"/>
      <c r="S78" s="108"/>
      <c r="W78" s="108"/>
      <c r="X78" s="108"/>
      <c r="Y78" s="108"/>
      <c r="AB78" s="73"/>
      <c r="AC78" s="73"/>
      <c r="AD78" s="73"/>
      <c r="AE78" s="121"/>
      <c r="AF78" s="73"/>
      <c r="AG78" s="73"/>
      <c r="AH78" s="73"/>
      <c r="AI78" s="73"/>
      <c r="AJ78" s="73"/>
      <c r="AK78" s="73"/>
      <c r="AL78" s="73"/>
      <c r="AM78" s="73"/>
      <c r="AN78" s="73"/>
      <c r="AO78" s="73"/>
    </row>
    <row r="79" spans="9:41" ht="20" customHeight="1">
      <c r="I79" s="9"/>
      <c r="J79" s="9"/>
      <c r="K79" s="5"/>
      <c r="L79" s="108"/>
      <c r="M79" s="108"/>
      <c r="N79" s="108"/>
      <c r="O79" s="108"/>
      <c r="Q79" s="108"/>
      <c r="R79" s="108"/>
      <c r="S79" s="108"/>
      <c r="W79" s="108"/>
      <c r="X79" s="108"/>
      <c r="Y79" s="108"/>
      <c r="AB79" s="73"/>
      <c r="AC79" s="73"/>
      <c r="AD79" s="73"/>
      <c r="AE79" s="121"/>
      <c r="AF79" s="73"/>
      <c r="AG79" s="73"/>
      <c r="AH79" s="73"/>
      <c r="AI79" s="73"/>
      <c r="AJ79" s="73"/>
      <c r="AK79" s="73"/>
      <c r="AL79" s="73"/>
      <c r="AM79" s="73"/>
      <c r="AN79" s="73"/>
      <c r="AO79" s="73"/>
    </row>
    <row r="80" spans="9:41" ht="20" customHeight="1">
      <c r="I80" s="9"/>
      <c r="J80" s="9"/>
      <c r="K80" s="5"/>
      <c r="L80" s="108"/>
      <c r="M80" s="108"/>
      <c r="N80" s="108"/>
      <c r="O80" s="108"/>
      <c r="P80" s="108"/>
      <c r="Q80" s="108"/>
      <c r="R80" s="108"/>
      <c r="S80" s="108"/>
      <c r="T80" s="108"/>
      <c r="U80" s="108"/>
      <c r="V80" s="108"/>
      <c r="W80" s="108"/>
      <c r="X80" s="108"/>
      <c r="Y80" s="108"/>
      <c r="Z80" s="20"/>
      <c r="AB80" s="73"/>
      <c r="AC80" s="73"/>
      <c r="AD80" s="73"/>
      <c r="AE80" s="121"/>
      <c r="AF80" s="73"/>
      <c r="AG80" s="73"/>
      <c r="AH80" s="73"/>
      <c r="AI80" s="73"/>
      <c r="AJ80" s="73"/>
      <c r="AK80" s="73"/>
      <c r="AL80" s="73"/>
      <c r="AM80" s="73"/>
      <c r="AN80" s="73"/>
      <c r="AO80" s="73"/>
    </row>
    <row r="81" spans="9:41" ht="20" customHeight="1">
      <c r="I81" s="9"/>
      <c r="J81" s="9"/>
      <c r="K81" s="5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  <c r="X81" s="108"/>
      <c r="Y81" s="108"/>
      <c r="Z81" s="20"/>
      <c r="AB81" s="73"/>
      <c r="AC81" s="73"/>
      <c r="AD81" s="73"/>
      <c r="AE81" s="121"/>
      <c r="AF81" s="73"/>
      <c r="AG81" s="73"/>
      <c r="AH81" s="73"/>
      <c r="AI81" s="73"/>
      <c r="AJ81" s="73"/>
      <c r="AK81" s="73"/>
      <c r="AL81" s="73"/>
      <c r="AM81" s="73"/>
      <c r="AN81" s="73"/>
      <c r="AO81" s="73"/>
    </row>
    <row r="82" spans="9:41" ht="20" customHeight="1">
      <c r="I82" s="9"/>
      <c r="J82" s="9"/>
      <c r="K82" s="5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  <c r="Z82" s="20"/>
      <c r="AB82" s="73"/>
      <c r="AC82" s="73"/>
      <c r="AD82" s="73"/>
      <c r="AE82" s="121"/>
      <c r="AF82" s="73"/>
      <c r="AG82" s="73"/>
      <c r="AH82" s="73"/>
      <c r="AI82" s="73"/>
      <c r="AJ82" s="73"/>
      <c r="AK82" s="73"/>
      <c r="AL82" s="73"/>
      <c r="AM82" s="73"/>
      <c r="AN82" s="73"/>
      <c r="AO82" s="73"/>
    </row>
    <row r="83" spans="9:41" ht="20" customHeight="1">
      <c r="I83" s="9"/>
      <c r="J83" s="9"/>
      <c r="K83" s="5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  <c r="Z83" s="20"/>
      <c r="AB83" s="73"/>
      <c r="AC83" s="73"/>
      <c r="AD83" s="73"/>
      <c r="AE83" s="121"/>
      <c r="AF83" s="73"/>
      <c r="AG83" s="73"/>
      <c r="AH83" s="73"/>
      <c r="AI83" s="73"/>
      <c r="AJ83" s="73"/>
      <c r="AK83" s="73"/>
      <c r="AL83" s="73"/>
      <c r="AM83" s="73"/>
      <c r="AN83" s="73"/>
      <c r="AO83" s="73"/>
    </row>
    <row r="84" spans="9:41" ht="20" customHeight="1">
      <c r="I84" s="9"/>
      <c r="J84" s="9"/>
      <c r="K84" s="5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20"/>
      <c r="AB84" s="73"/>
      <c r="AC84" s="73"/>
      <c r="AD84" s="71"/>
      <c r="AE84" s="121"/>
      <c r="AF84" s="71"/>
      <c r="AG84" s="71"/>
      <c r="AH84" s="71"/>
      <c r="AI84" s="71"/>
      <c r="AJ84" s="71"/>
      <c r="AK84" s="71"/>
      <c r="AL84" s="71"/>
      <c r="AM84" s="71"/>
      <c r="AN84" s="71"/>
      <c r="AO84" s="70"/>
    </row>
    <row r="85" spans="9:41" ht="20" customHeight="1">
      <c r="I85" s="9"/>
      <c r="J85" s="9"/>
      <c r="K85" s="5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08"/>
      <c r="Y85" s="108"/>
      <c r="Z85" s="20"/>
      <c r="AB85" s="73"/>
      <c r="AC85" s="73"/>
      <c r="AD85" s="71"/>
      <c r="AE85" s="121"/>
      <c r="AF85" s="71"/>
      <c r="AG85" s="71"/>
      <c r="AH85" s="71"/>
      <c r="AI85" s="71"/>
      <c r="AJ85" s="71"/>
      <c r="AK85" s="71"/>
      <c r="AL85" s="71"/>
      <c r="AM85" s="71"/>
      <c r="AN85" s="71"/>
      <c r="AO85" s="70"/>
    </row>
    <row r="86" spans="9:41" ht="20" customHeight="1">
      <c r="I86" s="9"/>
      <c r="J86" s="9"/>
      <c r="K86" s="5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28"/>
      <c r="AB86" s="73"/>
      <c r="AC86" s="73"/>
      <c r="AD86" s="71"/>
      <c r="AE86" s="121"/>
      <c r="AF86" s="71"/>
      <c r="AG86" s="71"/>
      <c r="AH86" s="71"/>
      <c r="AI86" s="71"/>
      <c r="AJ86" s="71"/>
      <c r="AK86" s="71"/>
      <c r="AL86" s="71"/>
      <c r="AM86" s="71"/>
      <c r="AN86" s="71"/>
      <c r="AO86" s="70"/>
    </row>
    <row r="87" spans="9:41" ht="20" customHeight="1">
      <c r="I87" s="9"/>
      <c r="J87" s="9"/>
      <c r="K87" s="5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  <c r="X87" s="108"/>
      <c r="Y87" s="108"/>
      <c r="AB87" s="73"/>
      <c r="AC87" s="73"/>
      <c r="AD87" s="71"/>
      <c r="AE87" s="121"/>
      <c r="AF87" s="71"/>
      <c r="AG87" s="71"/>
      <c r="AH87" s="71"/>
      <c r="AI87" s="71"/>
      <c r="AJ87" s="71"/>
      <c r="AK87" s="71"/>
      <c r="AL87" s="71"/>
      <c r="AM87" s="71"/>
      <c r="AN87" s="71"/>
      <c r="AO87" s="70"/>
    </row>
    <row r="88" spans="9:41" ht="20" customHeight="1">
      <c r="I88" s="9"/>
      <c r="J88" s="9"/>
      <c r="K88" s="5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AB88" s="73"/>
      <c r="AC88" s="73"/>
      <c r="AD88" s="71"/>
      <c r="AE88" s="121"/>
      <c r="AF88" s="71"/>
      <c r="AG88" s="71"/>
      <c r="AH88" s="71"/>
      <c r="AI88" s="71"/>
      <c r="AJ88" s="71"/>
      <c r="AK88" s="71"/>
      <c r="AL88" s="71"/>
      <c r="AM88" s="71"/>
      <c r="AN88" s="71"/>
      <c r="AO88" s="70"/>
    </row>
    <row r="89" spans="9:41" ht="20" customHeight="1">
      <c r="I89" s="9"/>
      <c r="J89" s="9"/>
      <c r="K89" s="33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AB89" s="73"/>
      <c r="AC89" s="73"/>
      <c r="AD89" s="71"/>
      <c r="AE89" s="121"/>
      <c r="AF89" s="71"/>
      <c r="AG89" s="71"/>
      <c r="AH89" s="71"/>
      <c r="AI89" s="71"/>
      <c r="AJ89" s="71"/>
      <c r="AK89" s="71"/>
      <c r="AL89" s="71"/>
      <c r="AM89" s="71"/>
      <c r="AN89" s="71"/>
      <c r="AO89" s="70"/>
    </row>
    <row r="90" spans="9:41" ht="20" customHeight="1">
      <c r="I90" s="9"/>
      <c r="J90" s="9"/>
      <c r="K90" s="33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  <c r="X90" s="108"/>
      <c r="Y90" s="108"/>
      <c r="AB90" s="73"/>
      <c r="AC90" s="73"/>
      <c r="AD90" s="71"/>
      <c r="AE90" s="121"/>
      <c r="AF90" s="71"/>
      <c r="AG90" s="71"/>
      <c r="AH90" s="71"/>
      <c r="AI90" s="71"/>
      <c r="AJ90" s="71"/>
      <c r="AK90" s="71"/>
      <c r="AL90" s="71"/>
      <c r="AM90" s="71"/>
      <c r="AN90" s="71"/>
      <c r="AO90" s="70"/>
    </row>
    <row r="91" spans="9:41" ht="20" customHeight="1">
      <c r="I91" s="9"/>
      <c r="J91" s="9"/>
      <c r="K91" s="5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  <c r="X91" s="108"/>
      <c r="Y91" s="108"/>
      <c r="AB91" s="73"/>
      <c r="AC91" s="73"/>
      <c r="AD91" s="71"/>
      <c r="AE91" s="121"/>
      <c r="AF91" s="71"/>
      <c r="AG91" s="71"/>
      <c r="AH91" s="71"/>
      <c r="AI91" s="71"/>
      <c r="AJ91" s="71"/>
      <c r="AK91" s="71"/>
      <c r="AL91" s="71"/>
      <c r="AM91" s="71"/>
      <c r="AN91" s="71"/>
      <c r="AO91" s="70"/>
    </row>
    <row r="92" spans="9:41" ht="19" customHeight="1">
      <c r="I92" s="9"/>
      <c r="J92" s="9"/>
      <c r="K92" s="5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9"/>
      <c r="AB92" s="73"/>
      <c r="AC92" s="73"/>
      <c r="AD92" s="71"/>
      <c r="AE92" s="121"/>
      <c r="AF92" s="71"/>
      <c r="AG92" s="71"/>
      <c r="AH92" s="71"/>
      <c r="AI92" s="71"/>
      <c r="AJ92" s="71"/>
      <c r="AK92" s="71"/>
      <c r="AL92" s="71"/>
      <c r="AM92" s="71"/>
      <c r="AN92" s="71"/>
      <c r="AO92" s="70"/>
    </row>
    <row r="93" spans="9:41" ht="19" customHeight="1">
      <c r="I93" s="9"/>
      <c r="J93" s="9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8"/>
      <c r="W93" s="108"/>
      <c r="X93" s="108"/>
      <c r="Y93" s="108"/>
      <c r="Z93" s="9"/>
      <c r="AB93" s="73"/>
      <c r="AC93" s="73"/>
      <c r="AD93" s="71"/>
      <c r="AE93" s="121"/>
      <c r="AF93" s="71"/>
      <c r="AG93" s="71"/>
      <c r="AH93" s="71"/>
      <c r="AI93" s="71"/>
      <c r="AJ93" s="71"/>
      <c r="AK93" s="71"/>
      <c r="AL93" s="71"/>
      <c r="AM93" s="71"/>
      <c r="AN93" s="71"/>
      <c r="AO93" s="70"/>
    </row>
    <row r="94" spans="9:41" ht="19" customHeight="1">
      <c r="I94" s="9"/>
      <c r="J94" s="9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9"/>
      <c r="AB94" s="73"/>
      <c r="AC94" s="73"/>
      <c r="AD94" s="71"/>
      <c r="AE94" s="121"/>
      <c r="AF94" s="71"/>
      <c r="AG94" s="71"/>
      <c r="AH94" s="71"/>
      <c r="AI94" s="71"/>
      <c r="AJ94" s="71"/>
      <c r="AK94" s="71"/>
      <c r="AL94" s="71"/>
      <c r="AM94" s="71"/>
      <c r="AN94" s="71"/>
      <c r="AO94" s="70"/>
    </row>
    <row r="95" spans="9:41" ht="19" customHeight="1">
      <c r="I95" s="9"/>
      <c r="J95" s="9"/>
      <c r="L95" s="108"/>
      <c r="M95" s="108"/>
      <c r="N95" s="108"/>
      <c r="O95" s="108"/>
      <c r="P95" s="108"/>
      <c r="Q95" s="108"/>
      <c r="R95" s="108"/>
      <c r="S95" s="108"/>
      <c r="T95" s="108"/>
      <c r="U95" s="108"/>
      <c r="V95" s="108"/>
      <c r="W95" s="108"/>
      <c r="X95" s="108"/>
      <c r="Y95" s="108"/>
      <c r="Z95" s="9"/>
      <c r="AB95" s="73"/>
      <c r="AC95" s="73"/>
      <c r="AD95" s="71"/>
      <c r="AE95" s="121"/>
      <c r="AF95" s="71"/>
      <c r="AG95" s="71"/>
      <c r="AH95" s="71"/>
      <c r="AI95" s="71"/>
      <c r="AJ95" s="71"/>
      <c r="AK95" s="71"/>
      <c r="AL95" s="71"/>
      <c r="AM95" s="71"/>
      <c r="AN95" s="71"/>
      <c r="AO95" s="70"/>
    </row>
    <row r="96" spans="9:41" ht="19" customHeight="1">
      <c r="I96" s="9"/>
      <c r="J96" s="9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  <c r="X96" s="108"/>
      <c r="Y96" s="108"/>
      <c r="Z96" s="9"/>
      <c r="AB96" s="73"/>
      <c r="AC96" s="73"/>
      <c r="AD96" s="71"/>
      <c r="AE96" s="121"/>
      <c r="AF96" s="71"/>
      <c r="AG96" s="71"/>
      <c r="AH96" s="71"/>
      <c r="AI96" s="71"/>
      <c r="AJ96" s="71"/>
      <c r="AK96" s="71"/>
      <c r="AL96" s="71"/>
      <c r="AM96" s="71"/>
      <c r="AN96" s="71"/>
      <c r="AO96" s="70"/>
    </row>
    <row r="97" spans="9:41" ht="19" customHeight="1">
      <c r="I97" s="9"/>
      <c r="J97" s="9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0"/>
      <c r="AB97" s="73"/>
      <c r="AC97" s="73"/>
      <c r="AD97" s="71"/>
      <c r="AE97" s="121"/>
      <c r="AF97" s="71"/>
      <c r="AG97" s="71"/>
      <c r="AH97" s="71"/>
      <c r="AI97" s="71"/>
      <c r="AJ97" s="71"/>
      <c r="AK97" s="71"/>
      <c r="AL97" s="71"/>
      <c r="AM97" s="71"/>
      <c r="AN97" s="71"/>
      <c r="AO97" s="70"/>
    </row>
    <row r="98" spans="9:41" ht="19" customHeight="1">
      <c r="I98" s="9"/>
      <c r="J98" s="9"/>
      <c r="L98" s="108"/>
      <c r="M98" s="108"/>
      <c r="N98" s="108"/>
      <c r="O98" s="108"/>
      <c r="P98" s="108"/>
      <c r="Q98" s="108"/>
      <c r="R98" s="108"/>
      <c r="S98" s="108"/>
      <c r="T98" s="108"/>
      <c r="U98" s="108"/>
      <c r="V98" s="108"/>
      <c r="W98" s="108"/>
      <c r="X98" s="108"/>
      <c r="Y98" s="108"/>
      <c r="Z98" s="21"/>
      <c r="AB98" s="73"/>
      <c r="AC98" s="73"/>
      <c r="AD98" s="71"/>
      <c r="AE98" s="121"/>
      <c r="AF98" s="71"/>
      <c r="AG98" s="71"/>
      <c r="AH98" s="71"/>
      <c r="AI98" s="71"/>
      <c r="AJ98" s="71"/>
      <c r="AK98" s="71"/>
      <c r="AL98" s="71"/>
      <c r="AM98" s="71"/>
      <c r="AN98" s="71"/>
      <c r="AO98" s="70"/>
    </row>
    <row r="99" spans="9:41" ht="19" customHeight="1">
      <c r="I99" s="9"/>
      <c r="J99" s="9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20"/>
      <c r="AB99" s="73"/>
      <c r="AC99" s="73"/>
      <c r="AD99" s="71"/>
      <c r="AE99" s="121"/>
      <c r="AF99" s="71"/>
      <c r="AG99" s="71"/>
      <c r="AH99" s="71"/>
      <c r="AI99" s="71"/>
      <c r="AJ99" s="71"/>
      <c r="AK99" s="71"/>
      <c r="AL99" s="71"/>
      <c r="AM99" s="71"/>
      <c r="AN99" s="71"/>
      <c r="AO99" s="70"/>
    </row>
    <row r="100" spans="9:41" ht="15" customHeight="1">
      <c r="I100" s="9"/>
      <c r="J100" s="9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  <c r="AB100" s="73"/>
      <c r="AC100" s="73"/>
      <c r="AD100" s="71"/>
      <c r="AE100" s="121"/>
      <c r="AF100" s="71"/>
      <c r="AG100" s="71"/>
      <c r="AH100" s="71"/>
      <c r="AI100" s="71"/>
      <c r="AJ100" s="71"/>
      <c r="AK100" s="71"/>
      <c r="AL100" s="71"/>
      <c r="AM100" s="71"/>
      <c r="AN100" s="71"/>
      <c r="AO100" s="70"/>
    </row>
    <row r="101" spans="9:41" ht="15" customHeight="1">
      <c r="I101" s="9"/>
      <c r="J101" s="9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  <c r="AB101" s="73"/>
      <c r="AC101" s="73"/>
      <c r="AD101" s="71"/>
      <c r="AE101" s="121"/>
      <c r="AF101" s="71"/>
      <c r="AG101" s="71"/>
      <c r="AH101" s="71"/>
      <c r="AI101" s="71"/>
      <c r="AJ101" s="71"/>
      <c r="AK101" s="71"/>
      <c r="AL101" s="71"/>
      <c r="AM101" s="71"/>
      <c r="AN101" s="71"/>
      <c r="AO101" s="70"/>
    </row>
    <row r="102" spans="9:41" ht="15" customHeight="1">
      <c r="I102" s="9"/>
      <c r="J102" s="9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AB102" s="73"/>
      <c r="AC102" s="73"/>
      <c r="AD102" s="71"/>
      <c r="AE102" s="12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0"/>
    </row>
    <row r="103" spans="9:41" ht="15" customHeight="1">
      <c r="I103" s="9"/>
      <c r="J103" s="9"/>
      <c r="L103" s="108"/>
      <c r="M103" s="108"/>
      <c r="N103" s="108"/>
      <c r="O103" s="108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  <c r="AB103" s="73"/>
      <c r="AC103" s="73"/>
      <c r="AD103" s="71"/>
      <c r="AE103" s="121"/>
      <c r="AF103" s="71"/>
      <c r="AG103" s="71"/>
      <c r="AH103" s="71"/>
      <c r="AI103" s="71"/>
      <c r="AJ103" s="71"/>
      <c r="AK103" s="71"/>
      <c r="AL103" s="71"/>
      <c r="AM103" s="71"/>
      <c r="AN103" s="71"/>
      <c r="AO103" s="70"/>
    </row>
    <row r="104" spans="9:41" ht="15" customHeight="1">
      <c r="I104" s="9"/>
      <c r="J104" s="9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  <c r="Z104" s="20"/>
      <c r="AB104" s="73"/>
      <c r="AC104" s="73"/>
      <c r="AD104" s="71"/>
      <c r="AE104" s="121"/>
      <c r="AF104" s="71"/>
      <c r="AG104" s="71"/>
      <c r="AH104" s="71"/>
      <c r="AI104" s="71"/>
      <c r="AJ104" s="71"/>
      <c r="AK104" s="71"/>
      <c r="AL104" s="71"/>
      <c r="AM104" s="71"/>
      <c r="AN104" s="71"/>
      <c r="AO104" s="70"/>
    </row>
    <row r="105" spans="9:41" ht="15" customHeight="1">
      <c r="I105" s="9"/>
      <c r="J105" s="9"/>
      <c r="L105" s="108"/>
      <c r="M105" s="108"/>
      <c r="N105" s="108"/>
      <c r="O105" s="108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  <c r="Z105" s="20"/>
      <c r="AB105" s="73"/>
      <c r="AC105" s="73"/>
      <c r="AD105" s="71"/>
      <c r="AE105" s="121"/>
      <c r="AF105" s="71"/>
      <c r="AG105" s="71"/>
      <c r="AH105" s="71"/>
      <c r="AI105" s="71"/>
      <c r="AJ105" s="71"/>
      <c r="AK105" s="71"/>
      <c r="AL105" s="71"/>
      <c r="AM105" s="71"/>
      <c r="AN105" s="71"/>
      <c r="AO105" s="70"/>
    </row>
    <row r="106" spans="9:41" ht="15" customHeight="1">
      <c r="I106" s="9"/>
      <c r="J106" s="9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  <c r="Z106" s="20"/>
      <c r="AB106" s="73"/>
      <c r="AC106" s="73"/>
      <c r="AD106" s="71"/>
      <c r="AE106" s="121"/>
      <c r="AF106" s="71"/>
      <c r="AG106" s="71"/>
      <c r="AH106" s="71"/>
      <c r="AI106" s="71"/>
      <c r="AJ106" s="71"/>
      <c r="AK106" s="71"/>
      <c r="AL106" s="71"/>
      <c r="AM106" s="71"/>
      <c r="AN106" s="71"/>
      <c r="AO106" s="70"/>
    </row>
    <row r="107" spans="9:41" ht="15" customHeight="1">
      <c r="I107" s="9"/>
      <c r="J107" s="9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  <c r="Z107" s="20"/>
      <c r="AA107" s="69"/>
      <c r="AB107" s="73"/>
      <c r="AC107" s="73"/>
      <c r="AD107" s="71"/>
      <c r="AE107" s="121"/>
      <c r="AF107" s="71"/>
      <c r="AG107" s="71"/>
      <c r="AH107" s="71"/>
      <c r="AI107" s="71"/>
      <c r="AJ107" s="71"/>
      <c r="AK107" s="71"/>
      <c r="AL107" s="71"/>
      <c r="AM107" s="71"/>
      <c r="AN107" s="71"/>
      <c r="AO107" s="70"/>
    </row>
    <row r="108" spans="9:41" ht="15" customHeight="1">
      <c r="I108" s="9"/>
      <c r="J108" s="9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20"/>
      <c r="AA108" s="69"/>
      <c r="AB108" s="73"/>
      <c r="AC108" s="73"/>
      <c r="AD108" s="71"/>
      <c r="AE108" s="121"/>
      <c r="AF108" s="71"/>
      <c r="AG108" s="71"/>
      <c r="AH108" s="71"/>
      <c r="AI108" s="71"/>
      <c r="AJ108" s="71"/>
      <c r="AK108" s="71"/>
      <c r="AL108" s="71"/>
      <c r="AM108" s="71"/>
      <c r="AN108" s="71"/>
      <c r="AO108" s="70"/>
    </row>
    <row r="109" spans="9:41" ht="15" customHeight="1">
      <c r="I109" s="9"/>
      <c r="J109" s="9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  <c r="Z109" s="20"/>
      <c r="AA109" s="69"/>
      <c r="AB109" s="73"/>
      <c r="AC109" s="73"/>
      <c r="AD109" s="71"/>
      <c r="AE109" s="121"/>
      <c r="AF109" s="71"/>
      <c r="AG109" s="71"/>
      <c r="AH109" s="71"/>
      <c r="AI109" s="71"/>
      <c r="AJ109" s="71"/>
      <c r="AK109" s="71"/>
      <c r="AL109" s="71"/>
      <c r="AM109" s="71"/>
      <c r="AN109" s="71"/>
      <c r="AO109" s="70"/>
    </row>
    <row r="110" spans="9:41" ht="15" customHeight="1">
      <c r="I110" s="9"/>
      <c r="J110" s="9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20"/>
      <c r="AA110" s="69"/>
      <c r="AB110" s="73"/>
      <c r="AC110" s="73"/>
      <c r="AD110" s="71"/>
      <c r="AE110" s="121"/>
      <c r="AF110" s="71"/>
      <c r="AG110" s="71"/>
      <c r="AH110" s="71"/>
      <c r="AI110" s="71"/>
      <c r="AJ110" s="71"/>
      <c r="AK110" s="71"/>
      <c r="AL110" s="71"/>
      <c r="AM110" s="71"/>
      <c r="AN110" s="71"/>
      <c r="AO110" s="70"/>
    </row>
    <row r="111" spans="9:41" ht="15" customHeight="1">
      <c r="I111" s="9"/>
      <c r="J111" s="9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20"/>
      <c r="AA111" s="69"/>
      <c r="AB111" s="73"/>
      <c r="AC111" s="73"/>
      <c r="AD111" s="71"/>
      <c r="AE111" s="121"/>
      <c r="AF111" s="71"/>
      <c r="AG111" s="71"/>
      <c r="AH111" s="71"/>
      <c r="AI111" s="71"/>
      <c r="AJ111" s="71"/>
      <c r="AK111" s="71"/>
      <c r="AL111" s="71"/>
      <c r="AM111" s="71"/>
      <c r="AN111" s="71"/>
      <c r="AO111" s="70"/>
    </row>
    <row r="112" spans="9:41" ht="15" customHeight="1">
      <c r="I112" s="9"/>
      <c r="J112" s="9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20"/>
      <c r="AA112" s="69"/>
      <c r="AB112" s="73"/>
      <c r="AC112" s="73"/>
      <c r="AD112" s="71"/>
      <c r="AE112" s="121"/>
      <c r="AF112" s="71"/>
      <c r="AG112" s="71"/>
      <c r="AH112" s="71"/>
      <c r="AI112" s="71"/>
      <c r="AJ112" s="71"/>
      <c r="AK112" s="71"/>
      <c r="AL112" s="71"/>
      <c r="AM112" s="71"/>
      <c r="AN112" s="71"/>
      <c r="AO112" s="70"/>
    </row>
    <row r="113" spans="2:41" ht="15" customHeight="1">
      <c r="I113" s="9"/>
      <c r="J113" s="9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20"/>
      <c r="AA113" s="69"/>
      <c r="AB113" s="73"/>
      <c r="AC113" s="73"/>
      <c r="AD113" s="71"/>
      <c r="AE113" s="121"/>
      <c r="AF113" s="71"/>
      <c r="AG113" s="71"/>
      <c r="AH113" s="71"/>
      <c r="AI113" s="71"/>
      <c r="AJ113" s="71"/>
      <c r="AK113" s="71"/>
      <c r="AL113" s="71"/>
      <c r="AM113" s="71"/>
      <c r="AN113" s="71"/>
      <c r="AO113" s="70"/>
    </row>
    <row r="114" spans="2:41" ht="15" customHeight="1">
      <c r="I114" s="9"/>
      <c r="J114" s="9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  <c r="Z114" s="20"/>
      <c r="AA114" s="69"/>
      <c r="AB114" s="73"/>
      <c r="AC114" s="73"/>
      <c r="AD114" s="71"/>
      <c r="AE114" s="121"/>
      <c r="AF114" s="71"/>
      <c r="AG114" s="71"/>
      <c r="AH114" s="71"/>
      <c r="AI114" s="71"/>
      <c r="AJ114" s="71"/>
      <c r="AK114" s="71"/>
      <c r="AL114" s="71"/>
      <c r="AM114" s="71"/>
      <c r="AN114" s="71"/>
      <c r="AO114" s="70"/>
    </row>
    <row r="115" spans="2:41" ht="15" customHeight="1">
      <c r="I115" s="9"/>
      <c r="J115" s="9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20"/>
      <c r="AA115" s="69"/>
      <c r="AB115" s="73"/>
      <c r="AC115" s="73"/>
      <c r="AD115" s="71"/>
      <c r="AE115" s="121"/>
      <c r="AF115" s="71"/>
      <c r="AG115" s="71"/>
      <c r="AH115" s="71"/>
      <c r="AI115" s="71"/>
      <c r="AJ115" s="71"/>
      <c r="AK115" s="71"/>
      <c r="AL115" s="71"/>
      <c r="AM115" s="71"/>
      <c r="AN115" s="71"/>
      <c r="AO115" s="70"/>
    </row>
    <row r="116" spans="2:41" ht="15" customHeight="1">
      <c r="I116" s="9"/>
      <c r="J116" s="9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  <c r="Z116" s="20"/>
      <c r="AA116" s="69"/>
      <c r="AB116" s="73"/>
      <c r="AC116" s="73"/>
      <c r="AD116" s="71"/>
      <c r="AE116" s="121"/>
      <c r="AF116" s="71"/>
      <c r="AG116" s="71"/>
      <c r="AH116" s="71"/>
      <c r="AI116" s="71"/>
      <c r="AJ116" s="71"/>
      <c r="AK116" s="71"/>
      <c r="AL116" s="71"/>
      <c r="AM116" s="71"/>
      <c r="AN116" s="71"/>
      <c r="AO116" s="70"/>
    </row>
    <row r="117" spans="2:41" ht="15" customHeight="1">
      <c r="I117" s="9"/>
      <c r="J117" s="9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  <c r="Z117" s="20"/>
      <c r="AA117" s="69"/>
      <c r="AB117" s="73"/>
      <c r="AC117" s="73"/>
      <c r="AD117" s="71"/>
      <c r="AE117" s="121"/>
      <c r="AF117" s="71"/>
      <c r="AG117" s="71"/>
      <c r="AH117" s="71"/>
      <c r="AI117" s="71"/>
      <c r="AJ117" s="71"/>
      <c r="AK117" s="71"/>
      <c r="AL117" s="71"/>
      <c r="AM117" s="71"/>
      <c r="AN117" s="71"/>
      <c r="AO117" s="70"/>
    </row>
    <row r="118" spans="2:41" ht="15" customHeight="1">
      <c r="I118" s="9"/>
      <c r="J118" s="9"/>
      <c r="K118" s="9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20"/>
      <c r="AA118" s="69"/>
      <c r="AB118" s="73"/>
      <c r="AC118" s="73"/>
      <c r="AD118" s="71"/>
      <c r="AE118" s="121"/>
      <c r="AF118" s="71"/>
      <c r="AG118" s="71"/>
      <c r="AH118" s="71"/>
      <c r="AI118" s="71"/>
      <c r="AJ118" s="71"/>
      <c r="AK118" s="71"/>
      <c r="AL118" s="71"/>
      <c r="AM118" s="71"/>
      <c r="AN118" s="71"/>
      <c r="AO118" s="70"/>
    </row>
    <row r="119" spans="2:41" ht="15" customHeight="1">
      <c r="I119" s="9"/>
      <c r="J119" s="9"/>
      <c r="K119" s="9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  <c r="Z119" s="20"/>
      <c r="AA119" s="69"/>
      <c r="AB119" s="73"/>
      <c r="AC119" s="73"/>
      <c r="AD119" s="71"/>
      <c r="AE119" s="121"/>
      <c r="AF119" s="71"/>
      <c r="AG119" s="71"/>
      <c r="AH119" s="71"/>
      <c r="AI119" s="71"/>
      <c r="AJ119" s="71"/>
      <c r="AK119" s="71"/>
      <c r="AL119" s="71"/>
      <c r="AM119" s="71"/>
      <c r="AN119" s="71"/>
      <c r="AO119" s="70"/>
    </row>
    <row r="120" spans="2:41" ht="15" customHeight="1">
      <c r="I120" s="9"/>
      <c r="J120" s="9"/>
      <c r="K120" s="9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20"/>
      <c r="AA120" s="69"/>
      <c r="AB120" s="73"/>
      <c r="AC120" s="73"/>
      <c r="AD120" s="71"/>
      <c r="AE120" s="121"/>
      <c r="AF120" s="71"/>
      <c r="AG120" s="71"/>
      <c r="AH120" s="71"/>
      <c r="AI120" s="71"/>
      <c r="AJ120" s="71"/>
      <c r="AK120" s="71"/>
      <c r="AL120" s="71"/>
      <c r="AM120" s="71"/>
      <c r="AN120" s="71"/>
      <c r="AO120" s="70"/>
    </row>
    <row r="121" spans="2:41" ht="15" customHeight="1">
      <c r="I121" s="9"/>
      <c r="J121" s="9"/>
      <c r="K121" s="9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  <c r="Z121" s="20"/>
      <c r="AA121" s="69"/>
      <c r="AB121" s="73"/>
      <c r="AC121" s="73"/>
      <c r="AD121" s="71"/>
      <c r="AE121" s="121"/>
      <c r="AF121" s="71"/>
      <c r="AG121" s="71"/>
      <c r="AH121" s="71"/>
      <c r="AI121" s="71"/>
      <c r="AJ121" s="71"/>
      <c r="AK121" s="71"/>
      <c r="AL121" s="71"/>
      <c r="AM121" s="71"/>
      <c r="AN121" s="71"/>
      <c r="AO121" s="70"/>
    </row>
    <row r="122" spans="2:41" ht="15" customHeight="1">
      <c r="B122" s="12"/>
      <c r="C122" s="12"/>
      <c r="D122" s="12"/>
      <c r="E122" s="12"/>
      <c r="F122" s="12"/>
      <c r="G122" s="12"/>
      <c r="H122" s="12"/>
      <c r="K122" s="9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  <c r="Z122" s="20"/>
      <c r="AA122" s="69"/>
      <c r="AB122" s="73"/>
      <c r="AC122" s="73"/>
      <c r="AD122" s="71"/>
      <c r="AE122" s="121"/>
      <c r="AF122" s="71"/>
      <c r="AG122" s="71"/>
      <c r="AH122" s="71"/>
      <c r="AI122" s="71"/>
      <c r="AJ122" s="71"/>
      <c r="AK122" s="71"/>
      <c r="AL122" s="71"/>
      <c r="AM122" s="71"/>
      <c r="AN122" s="71"/>
      <c r="AO122" s="70"/>
    </row>
    <row r="123" spans="2:41" ht="15" customHeight="1">
      <c r="B123" s="12"/>
      <c r="C123" s="12"/>
      <c r="D123" s="12"/>
      <c r="E123" s="12"/>
      <c r="F123" s="12"/>
      <c r="G123" s="12"/>
      <c r="H123" s="12"/>
      <c r="K123" s="9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  <c r="Z123" s="20"/>
      <c r="AA123" s="69"/>
      <c r="AB123" s="73"/>
      <c r="AC123" s="73"/>
      <c r="AD123" s="71"/>
      <c r="AE123" s="121"/>
      <c r="AF123" s="71"/>
      <c r="AG123" s="71"/>
      <c r="AH123" s="71"/>
      <c r="AI123" s="71"/>
      <c r="AJ123" s="71"/>
      <c r="AK123" s="71"/>
      <c r="AL123" s="71"/>
      <c r="AM123" s="71"/>
      <c r="AN123" s="71"/>
      <c r="AO123" s="70"/>
    </row>
    <row r="124" spans="2:41" ht="15" customHeight="1">
      <c r="B124" s="12"/>
      <c r="C124" s="12"/>
      <c r="D124" s="12"/>
      <c r="E124" s="12"/>
      <c r="F124" s="12"/>
      <c r="G124" s="12"/>
      <c r="H124" s="12"/>
      <c r="K124" s="9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  <c r="Z124" s="20"/>
      <c r="AA124" s="69"/>
      <c r="AB124" s="73"/>
      <c r="AC124" s="73"/>
      <c r="AD124" s="71"/>
      <c r="AE124" s="121"/>
      <c r="AF124" s="71"/>
      <c r="AG124" s="71"/>
      <c r="AH124" s="71"/>
      <c r="AI124" s="71"/>
      <c r="AJ124" s="71"/>
      <c r="AK124" s="71"/>
      <c r="AL124" s="71"/>
      <c r="AM124" s="71"/>
      <c r="AN124" s="71"/>
      <c r="AO124" s="70"/>
    </row>
    <row r="125" spans="2:41" ht="15" customHeight="1">
      <c r="B125" s="12"/>
      <c r="C125" s="12"/>
      <c r="D125" s="12"/>
      <c r="E125" s="12"/>
      <c r="F125" s="12"/>
      <c r="G125" s="12"/>
      <c r="H125" s="12"/>
      <c r="K125" s="9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  <c r="Z125" s="20"/>
      <c r="AA125" s="69"/>
      <c r="AB125" s="73"/>
      <c r="AC125" s="73"/>
      <c r="AD125" s="71"/>
      <c r="AE125" s="121"/>
      <c r="AF125" s="71"/>
      <c r="AG125" s="71"/>
      <c r="AH125" s="71"/>
      <c r="AI125" s="71"/>
      <c r="AJ125" s="71"/>
      <c r="AK125" s="71"/>
      <c r="AL125" s="71"/>
      <c r="AM125" s="71"/>
      <c r="AN125" s="71"/>
      <c r="AO125" s="70"/>
    </row>
    <row r="126" spans="2:41" ht="15" customHeight="1">
      <c r="B126" s="12"/>
      <c r="C126" s="12"/>
      <c r="D126" s="12"/>
      <c r="E126" s="12"/>
      <c r="F126" s="12"/>
      <c r="G126" s="12"/>
      <c r="H126" s="12"/>
      <c r="K126" s="9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  <c r="Z126" s="20"/>
      <c r="AA126" s="69"/>
      <c r="AB126" s="73"/>
      <c r="AC126" s="73"/>
      <c r="AD126" s="71"/>
      <c r="AE126" s="121"/>
      <c r="AF126" s="71"/>
      <c r="AG126" s="71"/>
      <c r="AH126" s="71"/>
      <c r="AI126" s="71"/>
      <c r="AJ126" s="71"/>
      <c r="AK126" s="71"/>
      <c r="AL126" s="71"/>
      <c r="AM126" s="71"/>
      <c r="AN126" s="71"/>
      <c r="AO126" s="70"/>
    </row>
    <row r="127" spans="2:41" ht="15" customHeight="1">
      <c r="B127" s="12"/>
      <c r="C127" s="12"/>
      <c r="D127" s="12"/>
      <c r="E127" s="12"/>
      <c r="F127" s="12"/>
      <c r="G127" s="12"/>
      <c r="H127" s="12"/>
      <c r="K127" s="9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  <c r="Z127" s="20"/>
      <c r="AA127" s="69"/>
      <c r="AB127" s="73"/>
      <c r="AC127" s="73"/>
      <c r="AD127" s="71"/>
      <c r="AE127" s="71"/>
      <c r="AF127" s="71"/>
      <c r="AG127" s="71"/>
      <c r="AH127" s="71"/>
      <c r="AI127" s="71"/>
      <c r="AJ127" s="71"/>
      <c r="AK127" s="71"/>
      <c r="AL127" s="71"/>
      <c r="AM127" s="71"/>
      <c r="AN127" s="71"/>
      <c r="AO127" s="70"/>
    </row>
    <row r="128" spans="2:41" ht="15" customHeight="1">
      <c r="B128" s="12"/>
      <c r="C128" s="12"/>
      <c r="D128" s="12"/>
      <c r="E128" s="12"/>
      <c r="F128" s="12"/>
      <c r="G128" s="12"/>
      <c r="H128" s="12"/>
      <c r="K128" s="9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  <c r="Z128" s="20"/>
      <c r="AA128" s="69"/>
      <c r="AB128" s="73"/>
      <c r="AC128" s="73"/>
      <c r="AD128" s="71"/>
      <c r="AE128" s="71"/>
      <c r="AF128" s="71"/>
      <c r="AG128" s="71"/>
      <c r="AH128" s="71"/>
      <c r="AI128" s="71"/>
      <c r="AJ128" s="71"/>
      <c r="AK128" s="71"/>
      <c r="AL128" s="71"/>
      <c r="AM128" s="71"/>
      <c r="AN128" s="71"/>
      <c r="AO128" s="70"/>
    </row>
    <row r="129" spans="2:41" ht="15" customHeight="1">
      <c r="B129" s="12"/>
      <c r="C129" s="12"/>
      <c r="D129" s="12"/>
      <c r="E129" s="12"/>
      <c r="F129" s="12"/>
      <c r="G129" s="12"/>
      <c r="H129" s="12"/>
      <c r="I129" s="9"/>
      <c r="J129" s="9"/>
      <c r="K129" s="9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  <c r="Z129" s="20"/>
      <c r="AA129" s="69"/>
      <c r="AB129" s="73"/>
      <c r="AC129" s="73"/>
      <c r="AD129" s="71"/>
      <c r="AE129" s="71"/>
      <c r="AF129" s="71"/>
      <c r="AG129" s="71"/>
      <c r="AH129" s="71"/>
      <c r="AI129" s="71"/>
      <c r="AJ129" s="71"/>
      <c r="AK129" s="71"/>
      <c r="AL129" s="71"/>
      <c r="AM129" s="71"/>
      <c r="AN129" s="71"/>
      <c r="AO129" s="70"/>
    </row>
    <row r="130" spans="2:41" ht="15" customHeight="1">
      <c r="B130" s="12"/>
      <c r="C130" s="12"/>
      <c r="D130" s="12"/>
      <c r="E130" s="12"/>
      <c r="F130" s="12"/>
      <c r="G130" s="12"/>
      <c r="H130" s="12"/>
      <c r="I130" s="9"/>
      <c r="J130" s="9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  <c r="Z130" s="20"/>
      <c r="AA130" s="69"/>
      <c r="AB130" s="73"/>
      <c r="AC130" s="73"/>
      <c r="AD130" s="71"/>
      <c r="AE130" s="71"/>
      <c r="AF130" s="71"/>
      <c r="AG130" s="71"/>
      <c r="AH130" s="71"/>
      <c r="AI130" s="71"/>
      <c r="AJ130" s="71"/>
      <c r="AK130" s="71"/>
      <c r="AL130" s="71"/>
      <c r="AM130" s="71"/>
      <c r="AN130" s="71"/>
      <c r="AO130" s="70"/>
    </row>
    <row r="131" spans="2:41" ht="15" customHeight="1">
      <c r="B131" s="12"/>
      <c r="C131" s="12"/>
      <c r="D131" s="12"/>
      <c r="E131" s="12"/>
      <c r="F131" s="12"/>
      <c r="G131" s="12"/>
      <c r="H131" s="12"/>
      <c r="I131" s="9"/>
      <c r="J131" s="9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  <c r="Z131" s="20"/>
      <c r="AA131" s="69"/>
      <c r="AB131" s="73"/>
      <c r="AC131" s="73"/>
      <c r="AD131" s="71"/>
      <c r="AE131" s="71"/>
      <c r="AF131" s="71"/>
      <c r="AG131" s="71"/>
      <c r="AH131" s="71"/>
      <c r="AI131" s="71"/>
      <c r="AJ131" s="71"/>
      <c r="AK131" s="71"/>
      <c r="AL131" s="71"/>
      <c r="AM131" s="71"/>
      <c r="AN131" s="71"/>
      <c r="AO131" s="70"/>
    </row>
    <row r="132" spans="2:41" ht="15" customHeight="1">
      <c r="B132" s="12"/>
      <c r="C132" s="12"/>
      <c r="D132" s="12"/>
      <c r="E132" s="12"/>
      <c r="F132" s="12"/>
      <c r="G132" s="12"/>
      <c r="H132" s="12"/>
      <c r="I132" s="9"/>
      <c r="J132" s="9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  <c r="Z132" s="20"/>
      <c r="AA132" s="69"/>
      <c r="AB132" s="73"/>
      <c r="AC132" s="73"/>
      <c r="AD132" s="71"/>
      <c r="AE132" s="71"/>
      <c r="AF132" s="71"/>
      <c r="AG132" s="71"/>
      <c r="AH132" s="71"/>
      <c r="AI132" s="71"/>
      <c r="AJ132" s="71"/>
      <c r="AK132" s="71"/>
      <c r="AL132" s="71"/>
      <c r="AM132" s="71"/>
      <c r="AN132" s="71"/>
      <c r="AO132" s="70"/>
    </row>
    <row r="133" spans="2:41" ht="15" customHeight="1">
      <c r="B133" s="12"/>
      <c r="C133" s="12"/>
      <c r="D133" s="12"/>
      <c r="E133" s="12"/>
      <c r="F133" s="12"/>
      <c r="G133" s="12"/>
      <c r="H133" s="12"/>
      <c r="I133" s="9"/>
      <c r="J133" s="9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  <c r="Z133" s="20"/>
      <c r="AA133" s="69"/>
      <c r="AB133" s="73"/>
      <c r="AC133" s="73"/>
      <c r="AD133" s="71"/>
      <c r="AE133" s="71"/>
      <c r="AF133" s="71"/>
      <c r="AG133" s="71"/>
      <c r="AH133" s="71"/>
      <c r="AI133" s="71"/>
      <c r="AJ133" s="71"/>
      <c r="AK133" s="71"/>
      <c r="AL133" s="71"/>
      <c r="AM133" s="71"/>
      <c r="AN133" s="71"/>
      <c r="AO133" s="70"/>
    </row>
    <row r="134" spans="2:41" ht="15" customHeight="1">
      <c r="B134" s="12"/>
      <c r="C134" s="12"/>
      <c r="D134" s="12"/>
      <c r="E134" s="12"/>
      <c r="F134" s="12"/>
      <c r="G134" s="12"/>
      <c r="H134" s="12"/>
      <c r="I134" s="9"/>
      <c r="J134" s="9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  <c r="Z134" s="20"/>
      <c r="AA134" s="69"/>
      <c r="AB134" s="73"/>
      <c r="AC134" s="73"/>
      <c r="AD134" s="71"/>
      <c r="AE134" s="71"/>
      <c r="AF134" s="71"/>
      <c r="AG134" s="71"/>
      <c r="AH134" s="71"/>
      <c r="AI134" s="71"/>
      <c r="AJ134" s="71"/>
      <c r="AK134" s="71"/>
      <c r="AL134" s="71"/>
      <c r="AM134" s="71"/>
      <c r="AN134" s="71"/>
      <c r="AO134" s="70"/>
    </row>
    <row r="135" spans="2:41" ht="15" customHeight="1">
      <c r="I135" s="9"/>
      <c r="J135" s="9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  <c r="Z135" s="20"/>
      <c r="AA135" s="69"/>
      <c r="AB135" s="73"/>
      <c r="AC135" s="73"/>
      <c r="AD135" s="71"/>
      <c r="AE135" s="71"/>
      <c r="AF135" s="71"/>
      <c r="AG135" s="71"/>
      <c r="AH135" s="71"/>
      <c r="AI135" s="71"/>
      <c r="AJ135" s="71"/>
      <c r="AK135" s="71"/>
      <c r="AL135" s="71"/>
      <c r="AM135" s="71"/>
      <c r="AN135" s="71"/>
      <c r="AO135" s="70"/>
    </row>
    <row r="136" spans="2:41" ht="15" customHeight="1"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  <c r="Z136" s="20"/>
      <c r="AA136" s="69"/>
      <c r="AB136" s="73"/>
      <c r="AC136" s="73"/>
      <c r="AD136" s="71"/>
      <c r="AE136" s="71"/>
      <c r="AF136" s="71"/>
      <c r="AG136" s="71"/>
      <c r="AH136" s="71"/>
      <c r="AI136" s="71"/>
      <c r="AJ136" s="71"/>
      <c r="AK136" s="71"/>
      <c r="AL136" s="71"/>
      <c r="AM136" s="71"/>
      <c r="AN136" s="71"/>
      <c r="AO136" s="70"/>
    </row>
    <row r="137" spans="2:41" ht="15" customHeight="1"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8"/>
      <c r="Z137" s="20"/>
      <c r="AA137" s="69"/>
      <c r="AB137" s="73"/>
      <c r="AC137" s="73"/>
      <c r="AD137" s="71"/>
      <c r="AE137" s="71"/>
      <c r="AF137" s="71"/>
      <c r="AG137" s="71"/>
      <c r="AH137" s="71"/>
      <c r="AI137" s="71"/>
      <c r="AJ137" s="71"/>
      <c r="AK137" s="71"/>
      <c r="AL137" s="71"/>
      <c r="AM137" s="71"/>
      <c r="AN137" s="71"/>
      <c r="AO137" s="70"/>
    </row>
    <row r="138" spans="2:41" ht="15" customHeight="1"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8"/>
      <c r="Z138" s="20"/>
      <c r="AA138" s="69"/>
      <c r="AB138" s="73"/>
      <c r="AC138" s="73"/>
      <c r="AD138" s="71"/>
      <c r="AE138" s="71"/>
      <c r="AF138" s="71"/>
      <c r="AG138" s="71"/>
      <c r="AH138" s="71"/>
      <c r="AI138" s="71"/>
      <c r="AJ138" s="71"/>
      <c r="AK138" s="71"/>
      <c r="AL138" s="71"/>
      <c r="AM138" s="71"/>
      <c r="AN138" s="71"/>
      <c r="AO138" s="70"/>
    </row>
    <row r="139" spans="2:41" ht="15" customHeight="1"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8"/>
      <c r="Z139" s="20"/>
      <c r="AA139" s="69"/>
      <c r="AB139" s="73"/>
      <c r="AC139" s="73"/>
      <c r="AD139" s="71"/>
      <c r="AE139" s="71"/>
      <c r="AF139" s="71"/>
      <c r="AG139" s="71"/>
      <c r="AH139" s="71"/>
      <c r="AI139" s="71"/>
      <c r="AJ139" s="71"/>
      <c r="AK139" s="71"/>
      <c r="AL139" s="71"/>
      <c r="AM139" s="71"/>
      <c r="AN139" s="71"/>
      <c r="AO139" s="70"/>
    </row>
    <row r="140" spans="2:41" ht="15" customHeight="1"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8"/>
      <c r="Z140" s="20"/>
      <c r="AA140" s="69"/>
      <c r="AB140" s="73"/>
      <c r="AC140" s="73"/>
      <c r="AD140" s="71"/>
      <c r="AE140" s="71"/>
      <c r="AF140" s="71"/>
      <c r="AG140" s="71"/>
      <c r="AH140" s="71"/>
      <c r="AI140" s="71"/>
      <c r="AJ140" s="71"/>
      <c r="AK140" s="71"/>
      <c r="AL140" s="71"/>
      <c r="AM140" s="71"/>
      <c r="AN140" s="71"/>
      <c r="AO140" s="70"/>
    </row>
    <row r="141" spans="2:41" ht="15" customHeight="1"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  <c r="Z141" s="20"/>
      <c r="AA141" s="69"/>
      <c r="AB141" s="73"/>
      <c r="AC141" s="73"/>
      <c r="AD141" s="71"/>
      <c r="AE141" s="71"/>
      <c r="AF141" s="71"/>
      <c r="AG141" s="71"/>
      <c r="AH141" s="71"/>
      <c r="AI141" s="71"/>
      <c r="AJ141" s="71"/>
      <c r="AK141" s="71"/>
      <c r="AL141" s="71"/>
      <c r="AM141" s="71"/>
      <c r="AN141" s="71"/>
      <c r="AO141" s="70"/>
    </row>
    <row r="142" spans="2:41" ht="15" customHeight="1"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  <c r="Z142" s="20"/>
      <c r="AA142" s="69"/>
      <c r="AB142" s="73"/>
      <c r="AC142" s="73"/>
      <c r="AD142" s="71"/>
      <c r="AE142" s="71"/>
      <c r="AF142" s="71"/>
      <c r="AG142" s="71"/>
      <c r="AH142" s="71"/>
      <c r="AI142" s="71"/>
      <c r="AJ142" s="71"/>
      <c r="AK142" s="71"/>
      <c r="AL142" s="71"/>
      <c r="AM142" s="71"/>
      <c r="AN142" s="71"/>
      <c r="AO142" s="70"/>
    </row>
    <row r="143" spans="2:41" ht="15" customHeight="1"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8"/>
      <c r="Z143" s="20"/>
      <c r="AA143" s="69"/>
      <c r="AB143" s="73"/>
      <c r="AC143" s="73"/>
      <c r="AD143" s="71"/>
      <c r="AE143" s="71"/>
      <c r="AF143" s="71"/>
      <c r="AG143" s="71"/>
      <c r="AH143" s="71"/>
      <c r="AI143" s="71"/>
      <c r="AJ143" s="71"/>
      <c r="AK143" s="71"/>
      <c r="AL143" s="71"/>
      <c r="AM143" s="71"/>
      <c r="AN143" s="71"/>
      <c r="AO143" s="70"/>
    </row>
    <row r="144" spans="2:41" ht="15" customHeight="1"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8"/>
      <c r="Z144" s="20"/>
      <c r="AA144" s="69"/>
      <c r="AB144" s="73"/>
      <c r="AC144" s="73"/>
      <c r="AD144" s="71"/>
      <c r="AE144" s="71"/>
      <c r="AF144" s="71"/>
      <c r="AG144" s="71"/>
      <c r="AH144" s="71"/>
      <c r="AI144" s="71"/>
      <c r="AJ144" s="71"/>
      <c r="AK144" s="71"/>
      <c r="AL144" s="71"/>
      <c r="AM144" s="71"/>
      <c r="AN144" s="71"/>
      <c r="AO144" s="70"/>
    </row>
    <row r="145" spans="2:41" ht="15" customHeight="1">
      <c r="B145" s="13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8"/>
      <c r="Z145" s="20"/>
      <c r="AA145" s="69"/>
      <c r="AB145" s="73"/>
      <c r="AC145" s="73"/>
      <c r="AD145" s="71"/>
      <c r="AE145" s="71"/>
      <c r="AF145" s="71"/>
      <c r="AG145" s="71"/>
      <c r="AH145" s="71"/>
      <c r="AI145" s="71"/>
      <c r="AJ145" s="71"/>
      <c r="AK145" s="71"/>
      <c r="AL145" s="71"/>
      <c r="AM145" s="71"/>
      <c r="AN145" s="71"/>
      <c r="AO145" s="70"/>
    </row>
    <row r="146" spans="2:41" ht="15" customHeight="1">
      <c r="B146" s="1"/>
      <c r="C146" s="1"/>
      <c r="D146" s="1"/>
      <c r="E146" s="1"/>
      <c r="F146" s="1"/>
      <c r="G146" s="1"/>
      <c r="H146" s="1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8"/>
      <c r="Z146" s="20"/>
      <c r="AA146" s="69"/>
      <c r="AB146" s="73"/>
      <c r="AC146" s="73"/>
      <c r="AD146" s="71"/>
      <c r="AE146" s="71"/>
      <c r="AF146" s="71"/>
      <c r="AG146" s="71"/>
      <c r="AH146" s="71"/>
      <c r="AI146" s="71"/>
      <c r="AJ146" s="71"/>
      <c r="AK146" s="71"/>
      <c r="AL146" s="71"/>
      <c r="AM146" s="71"/>
      <c r="AN146" s="71"/>
      <c r="AO146" s="70"/>
    </row>
    <row r="147" spans="2:41" ht="15" customHeight="1">
      <c r="B147" s="1"/>
      <c r="C147" s="1"/>
      <c r="D147" s="1"/>
      <c r="E147" s="1"/>
      <c r="F147" s="1"/>
      <c r="G147" s="1"/>
      <c r="H147" s="1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8"/>
      <c r="Z147" s="20"/>
      <c r="AA147" s="69"/>
      <c r="AB147" s="73"/>
      <c r="AC147" s="73"/>
      <c r="AD147" s="71"/>
      <c r="AE147" s="71"/>
      <c r="AF147" s="71"/>
      <c r="AG147" s="71"/>
      <c r="AH147" s="71"/>
      <c r="AI147" s="71"/>
      <c r="AJ147" s="71"/>
      <c r="AK147" s="71"/>
      <c r="AL147" s="71"/>
      <c r="AM147" s="71"/>
      <c r="AN147" s="71"/>
      <c r="AO147" s="70"/>
    </row>
    <row r="148" spans="2:41" ht="15" customHeight="1">
      <c r="B148" s="1"/>
      <c r="C148" s="1"/>
      <c r="D148" s="1"/>
      <c r="E148" s="1"/>
      <c r="F148" s="1"/>
      <c r="G148" s="1"/>
      <c r="H148" s="1"/>
      <c r="K148" s="7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08"/>
      <c r="Y148" s="108"/>
      <c r="Z148" s="20"/>
      <c r="AA148" s="69"/>
      <c r="AB148" s="73"/>
      <c r="AC148" s="73"/>
      <c r="AD148" s="71"/>
      <c r="AE148" s="71"/>
      <c r="AF148" s="71"/>
      <c r="AG148" s="71"/>
      <c r="AH148" s="71"/>
      <c r="AI148" s="71"/>
      <c r="AJ148" s="71"/>
      <c r="AK148" s="71"/>
      <c r="AL148" s="71"/>
      <c r="AM148" s="71"/>
      <c r="AN148" s="71"/>
      <c r="AO148" s="70"/>
    </row>
    <row r="149" spans="2:41" ht="15" customHeight="1">
      <c r="B149" s="1"/>
      <c r="C149" s="1"/>
      <c r="D149" s="1"/>
      <c r="E149" s="1"/>
      <c r="F149" s="1"/>
      <c r="G149" s="1"/>
      <c r="H149" s="1"/>
      <c r="L149" s="108"/>
      <c r="M149" s="108"/>
      <c r="N149" s="108"/>
      <c r="O149" s="108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  <c r="Z149" s="20"/>
      <c r="AA149" s="69"/>
      <c r="AB149" s="73"/>
      <c r="AC149" s="73"/>
      <c r="AD149" s="71"/>
      <c r="AE149" s="71"/>
      <c r="AF149" s="71"/>
      <c r="AG149" s="71"/>
      <c r="AH149" s="71"/>
      <c r="AI149" s="71"/>
      <c r="AJ149" s="71"/>
      <c r="AK149" s="71"/>
      <c r="AL149" s="71"/>
      <c r="AM149" s="71"/>
      <c r="AN149" s="71"/>
      <c r="AO149" s="70"/>
    </row>
    <row r="150" spans="2:41" ht="15" customHeight="1">
      <c r="B150" s="1"/>
      <c r="C150" s="1"/>
      <c r="D150" s="1"/>
      <c r="E150" s="1"/>
      <c r="F150" s="1"/>
      <c r="G150" s="1"/>
      <c r="H150" s="1"/>
      <c r="L150" s="108"/>
      <c r="M150" s="108"/>
      <c r="N150" s="108"/>
      <c r="O150" s="108"/>
      <c r="P150" s="108"/>
      <c r="Q150" s="108"/>
      <c r="R150" s="108"/>
      <c r="S150" s="108"/>
      <c r="T150" s="108"/>
      <c r="U150" s="108"/>
      <c r="V150" s="108"/>
      <c r="W150" s="108"/>
      <c r="X150" s="108"/>
      <c r="Y150" s="108"/>
      <c r="Z150" s="20"/>
      <c r="AA150" s="69"/>
      <c r="AB150" s="73"/>
      <c r="AC150" s="73"/>
      <c r="AD150" s="71"/>
      <c r="AE150" s="71"/>
      <c r="AF150" s="71"/>
      <c r="AG150" s="71"/>
      <c r="AH150" s="71"/>
      <c r="AI150" s="71"/>
      <c r="AJ150" s="71"/>
      <c r="AK150" s="71"/>
      <c r="AL150" s="71"/>
      <c r="AM150" s="71"/>
      <c r="AN150" s="71"/>
      <c r="AO150" s="70"/>
    </row>
    <row r="151" spans="2:41" ht="15" customHeight="1">
      <c r="B151" s="1"/>
      <c r="C151" s="1"/>
      <c r="D151" s="1"/>
      <c r="E151" s="1"/>
      <c r="F151" s="1"/>
      <c r="G151" s="1"/>
      <c r="H151" s="1"/>
      <c r="L151" s="108"/>
      <c r="M151" s="108"/>
      <c r="N151" s="108"/>
      <c r="O151" s="108"/>
      <c r="P151" s="108"/>
      <c r="Q151" s="108"/>
      <c r="R151" s="108"/>
      <c r="S151" s="108"/>
      <c r="T151" s="108"/>
      <c r="U151" s="108"/>
      <c r="V151" s="108"/>
      <c r="W151" s="108"/>
      <c r="X151" s="108"/>
      <c r="Y151" s="108"/>
      <c r="Z151" s="20"/>
      <c r="AA151" s="69"/>
      <c r="AB151" s="73"/>
      <c r="AC151" s="73"/>
      <c r="AD151" s="71"/>
      <c r="AE151" s="71"/>
      <c r="AF151" s="71"/>
      <c r="AG151" s="71"/>
      <c r="AH151" s="71"/>
      <c r="AI151" s="71"/>
      <c r="AJ151" s="71"/>
      <c r="AK151" s="71"/>
      <c r="AL151" s="71"/>
      <c r="AM151" s="71"/>
      <c r="AN151" s="71"/>
      <c r="AO151" s="70"/>
    </row>
    <row r="152" spans="2:41" ht="15" customHeight="1">
      <c r="B152" s="1"/>
      <c r="C152" s="1"/>
      <c r="D152" s="1"/>
      <c r="E152" s="1"/>
      <c r="F152" s="1"/>
      <c r="G152" s="1"/>
      <c r="H152" s="1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  <c r="Z152" s="20"/>
      <c r="AA152" s="69"/>
      <c r="AB152" s="73"/>
      <c r="AC152" s="73"/>
      <c r="AD152" s="71"/>
      <c r="AE152" s="71"/>
      <c r="AF152" s="71"/>
      <c r="AG152" s="71"/>
      <c r="AH152" s="71"/>
      <c r="AI152" s="71"/>
      <c r="AJ152" s="71"/>
      <c r="AK152" s="71"/>
      <c r="AL152" s="71"/>
      <c r="AM152" s="71"/>
      <c r="AN152" s="71"/>
      <c r="AO152" s="70"/>
    </row>
    <row r="153" spans="2:41" ht="15" customHeight="1">
      <c r="D153" s="10"/>
      <c r="G153" s="10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08"/>
      <c r="X153" s="108"/>
      <c r="Y153" s="108"/>
      <c r="Z153" s="20"/>
      <c r="AA153" s="69"/>
      <c r="AB153" s="73"/>
      <c r="AC153" s="73"/>
      <c r="AD153" s="71"/>
      <c r="AE153" s="71"/>
      <c r="AF153" s="71"/>
      <c r="AG153" s="71"/>
      <c r="AH153" s="71"/>
      <c r="AI153" s="71"/>
      <c r="AJ153" s="71"/>
      <c r="AK153" s="71"/>
      <c r="AL153" s="71"/>
      <c r="AM153" s="71"/>
      <c r="AN153" s="71"/>
      <c r="AO153" s="70"/>
    </row>
    <row r="154" spans="2:41" ht="15" customHeight="1"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08"/>
      <c r="X154" s="108"/>
      <c r="Y154" s="108"/>
      <c r="Z154" s="20"/>
      <c r="AA154" s="69"/>
      <c r="AB154" s="73"/>
      <c r="AC154" s="73"/>
      <c r="AD154" s="71"/>
      <c r="AE154" s="71"/>
      <c r="AF154" s="71"/>
      <c r="AG154" s="71"/>
      <c r="AH154" s="71"/>
      <c r="AI154" s="71"/>
      <c r="AJ154" s="71"/>
      <c r="AK154" s="71"/>
      <c r="AL154" s="71"/>
      <c r="AM154" s="71"/>
      <c r="AN154" s="71"/>
      <c r="AO154" s="70"/>
    </row>
    <row r="155" spans="2:41" ht="15" customHeight="1">
      <c r="B155" s="13"/>
      <c r="C155" s="1"/>
      <c r="D155" s="1"/>
      <c r="E155" s="1"/>
      <c r="F155" s="1"/>
      <c r="G155" s="1"/>
      <c r="H155" s="1"/>
      <c r="L155" s="108"/>
      <c r="M155" s="108"/>
      <c r="N155" s="108"/>
      <c r="O155" s="108"/>
      <c r="P155" s="108"/>
      <c r="Q155" s="108"/>
      <c r="R155" s="108"/>
      <c r="S155" s="108"/>
      <c r="T155" s="108"/>
      <c r="U155" s="108"/>
      <c r="V155" s="108"/>
      <c r="W155" s="108"/>
      <c r="X155" s="108"/>
      <c r="Y155" s="108"/>
      <c r="Z155" s="20"/>
      <c r="AA155" s="69"/>
      <c r="AB155" s="73"/>
      <c r="AC155" s="73"/>
      <c r="AD155" s="71"/>
      <c r="AE155" s="71"/>
      <c r="AF155" s="71"/>
      <c r="AG155" s="71"/>
      <c r="AH155" s="71"/>
      <c r="AI155" s="71"/>
      <c r="AJ155" s="71"/>
      <c r="AK155" s="71"/>
      <c r="AL155" s="71"/>
      <c r="AM155" s="71"/>
      <c r="AN155" s="71"/>
      <c r="AO155" s="70"/>
    </row>
    <row r="156" spans="2:41" ht="15" customHeight="1">
      <c r="B156" s="4"/>
      <c r="C156" s="4"/>
      <c r="D156" s="4"/>
      <c r="E156" s="4"/>
      <c r="F156" s="4"/>
      <c r="G156" s="4"/>
      <c r="H156" s="4"/>
      <c r="L156" s="108"/>
      <c r="M156" s="108"/>
      <c r="N156" s="108"/>
      <c r="O156" s="108"/>
      <c r="P156" s="108"/>
      <c r="Q156" s="108"/>
      <c r="R156" s="108"/>
      <c r="S156" s="108"/>
      <c r="T156" s="108"/>
      <c r="U156" s="108"/>
      <c r="V156" s="108"/>
      <c r="W156" s="108"/>
      <c r="X156" s="108"/>
      <c r="Y156" s="108"/>
      <c r="Z156" s="20"/>
      <c r="AA156" s="69"/>
      <c r="AB156" s="73"/>
      <c r="AC156" s="73"/>
      <c r="AD156" s="71"/>
      <c r="AE156" s="71"/>
      <c r="AF156" s="71"/>
      <c r="AG156" s="71"/>
      <c r="AH156" s="71"/>
      <c r="AI156" s="71"/>
      <c r="AJ156" s="71"/>
      <c r="AK156" s="71"/>
      <c r="AL156" s="71"/>
      <c r="AM156" s="71"/>
      <c r="AN156" s="71"/>
      <c r="AO156" s="70"/>
    </row>
    <row r="157" spans="2:41" ht="15" customHeight="1">
      <c r="B157" s="14"/>
      <c r="H157" s="4"/>
      <c r="L157" s="108"/>
      <c r="M157" s="108"/>
      <c r="N157" s="108"/>
      <c r="O157" s="108"/>
      <c r="P157" s="108"/>
      <c r="Q157" s="108"/>
      <c r="R157" s="108"/>
      <c r="S157" s="108"/>
      <c r="T157" s="108"/>
      <c r="U157" s="108"/>
      <c r="V157" s="108"/>
      <c r="W157" s="108"/>
      <c r="X157" s="108"/>
      <c r="Y157" s="108"/>
      <c r="Z157" s="20"/>
      <c r="AA157" s="69"/>
      <c r="AB157" s="73"/>
      <c r="AC157" s="73"/>
      <c r="AD157" s="71"/>
      <c r="AE157" s="71"/>
      <c r="AF157" s="71"/>
      <c r="AG157" s="71"/>
      <c r="AH157" s="71"/>
      <c r="AI157" s="71"/>
      <c r="AJ157" s="71"/>
      <c r="AK157" s="71"/>
      <c r="AL157" s="71"/>
      <c r="AM157" s="71"/>
      <c r="AN157" s="71"/>
      <c r="AO157" s="70"/>
    </row>
    <row r="158" spans="2:41" ht="15" customHeight="1">
      <c r="L158" s="108"/>
      <c r="M158" s="108"/>
      <c r="N158" s="108"/>
      <c r="O158" s="108"/>
      <c r="P158" s="108"/>
      <c r="Q158" s="108"/>
      <c r="R158" s="108"/>
      <c r="S158" s="108"/>
      <c r="T158" s="108"/>
      <c r="U158" s="108"/>
      <c r="V158" s="108"/>
      <c r="W158" s="108"/>
      <c r="X158" s="108"/>
      <c r="Y158" s="108"/>
      <c r="Z158" s="20"/>
      <c r="AA158" s="69"/>
      <c r="AB158" s="73"/>
      <c r="AC158" s="73"/>
      <c r="AD158" s="71"/>
      <c r="AE158" s="71"/>
      <c r="AF158" s="71"/>
      <c r="AG158" s="71"/>
      <c r="AH158" s="71"/>
      <c r="AI158" s="71"/>
      <c r="AJ158" s="71"/>
      <c r="AK158" s="71"/>
      <c r="AL158" s="71"/>
      <c r="AM158" s="71"/>
      <c r="AN158" s="71"/>
      <c r="AO158" s="70"/>
    </row>
    <row r="159" spans="2:41" ht="15" customHeight="1">
      <c r="L159" s="108"/>
      <c r="M159" s="108"/>
      <c r="N159" s="108"/>
      <c r="O159" s="108"/>
      <c r="P159" s="108"/>
      <c r="Q159" s="108"/>
      <c r="R159" s="108"/>
      <c r="S159" s="108"/>
      <c r="T159" s="108"/>
      <c r="U159" s="108"/>
      <c r="V159" s="108"/>
      <c r="W159" s="108"/>
      <c r="X159" s="108"/>
      <c r="Y159" s="108"/>
      <c r="Z159" s="20"/>
      <c r="AA159" s="69"/>
      <c r="AB159" s="73"/>
      <c r="AC159" s="73"/>
      <c r="AD159" s="71"/>
      <c r="AE159" s="71"/>
      <c r="AF159" s="71"/>
      <c r="AG159" s="71"/>
      <c r="AH159" s="71"/>
      <c r="AI159" s="71"/>
      <c r="AJ159" s="71"/>
      <c r="AK159" s="71"/>
      <c r="AL159" s="71"/>
      <c r="AM159" s="71"/>
      <c r="AN159" s="71"/>
      <c r="AO159" s="70"/>
    </row>
    <row r="160" spans="2:41" ht="15" customHeight="1">
      <c r="L160" s="108"/>
      <c r="M160" s="108"/>
      <c r="N160" s="108"/>
      <c r="O160" s="108"/>
      <c r="P160" s="108"/>
      <c r="Q160" s="108"/>
      <c r="R160" s="108"/>
      <c r="S160" s="108"/>
      <c r="T160" s="108"/>
      <c r="U160" s="108"/>
      <c r="V160" s="108"/>
      <c r="W160" s="108"/>
      <c r="X160" s="108"/>
      <c r="Y160" s="108"/>
      <c r="Z160" s="20"/>
      <c r="AA160" s="69"/>
      <c r="AB160" s="73"/>
      <c r="AC160" s="73"/>
      <c r="AD160" s="71"/>
      <c r="AE160" s="71"/>
      <c r="AF160" s="71"/>
      <c r="AG160" s="71"/>
      <c r="AH160" s="71"/>
      <c r="AI160" s="71"/>
      <c r="AJ160" s="71"/>
      <c r="AK160" s="71"/>
      <c r="AL160" s="71"/>
      <c r="AM160" s="71"/>
      <c r="AN160" s="71"/>
      <c r="AO160" s="70"/>
    </row>
    <row r="161" spans="1:41" ht="15" customHeight="1">
      <c r="L161" s="108"/>
      <c r="M161" s="108"/>
      <c r="N161" s="108"/>
      <c r="O161" s="108"/>
      <c r="P161" s="108"/>
      <c r="Q161" s="108"/>
      <c r="R161" s="108"/>
      <c r="S161" s="108"/>
      <c r="T161" s="108"/>
      <c r="U161" s="108"/>
      <c r="V161" s="108"/>
      <c r="W161" s="108"/>
      <c r="X161" s="108"/>
      <c r="Y161" s="108"/>
      <c r="Z161" s="20"/>
      <c r="AA161" s="69"/>
      <c r="AB161" s="73"/>
      <c r="AC161" s="73"/>
      <c r="AD161" s="71"/>
      <c r="AE161" s="71"/>
      <c r="AF161" s="71"/>
      <c r="AG161" s="71"/>
      <c r="AH161" s="71"/>
      <c r="AI161" s="71"/>
      <c r="AJ161" s="71"/>
      <c r="AK161" s="71"/>
      <c r="AL161" s="71"/>
      <c r="AM161" s="71"/>
      <c r="AN161" s="71"/>
      <c r="AO161" s="70"/>
    </row>
    <row r="162" spans="1:41" ht="15" customHeight="1">
      <c r="L162" s="108"/>
      <c r="M162" s="108"/>
      <c r="N162" s="108"/>
      <c r="O162" s="108"/>
      <c r="P162" s="108"/>
      <c r="Q162" s="108"/>
      <c r="R162" s="108"/>
      <c r="S162" s="108"/>
      <c r="T162" s="108"/>
      <c r="U162" s="108"/>
      <c r="V162" s="108"/>
      <c r="W162" s="108"/>
      <c r="X162" s="108"/>
      <c r="Y162" s="108"/>
      <c r="Z162" s="20"/>
      <c r="AA162" s="69"/>
      <c r="AB162" s="73"/>
      <c r="AC162" s="73"/>
      <c r="AD162" s="71"/>
      <c r="AE162" s="71"/>
      <c r="AF162" s="71"/>
      <c r="AG162" s="71"/>
      <c r="AH162" s="71"/>
      <c r="AI162" s="71"/>
      <c r="AJ162" s="71"/>
      <c r="AK162" s="71"/>
      <c r="AL162" s="71"/>
      <c r="AM162" s="71"/>
      <c r="AN162" s="71"/>
      <c r="AO162" s="70"/>
    </row>
    <row r="163" spans="1:41" ht="15" customHeight="1">
      <c r="L163" s="108"/>
      <c r="M163" s="108"/>
      <c r="N163" s="108"/>
      <c r="O163" s="108"/>
      <c r="P163" s="108"/>
      <c r="Q163" s="108"/>
      <c r="R163" s="108"/>
      <c r="S163" s="108"/>
      <c r="T163" s="108"/>
      <c r="U163" s="108"/>
      <c r="V163" s="108"/>
      <c r="W163" s="108"/>
      <c r="X163" s="108"/>
      <c r="Y163" s="108"/>
      <c r="Z163" s="20"/>
      <c r="AA163" s="69"/>
      <c r="AB163" s="73"/>
      <c r="AC163" s="73"/>
      <c r="AD163" s="71"/>
      <c r="AE163" s="71"/>
      <c r="AF163" s="71"/>
      <c r="AG163" s="71"/>
      <c r="AH163" s="71"/>
      <c r="AI163" s="71"/>
      <c r="AJ163" s="71"/>
      <c r="AK163" s="71"/>
      <c r="AL163" s="71"/>
      <c r="AM163" s="71"/>
      <c r="AN163" s="71"/>
      <c r="AO163" s="70"/>
    </row>
    <row r="164" spans="1:41" ht="15" customHeight="1">
      <c r="L164" s="108"/>
      <c r="M164" s="108"/>
      <c r="N164" s="108"/>
      <c r="O164" s="108"/>
      <c r="P164" s="108"/>
      <c r="Q164" s="108"/>
      <c r="R164" s="108"/>
      <c r="S164" s="108"/>
      <c r="T164" s="108"/>
      <c r="U164" s="108"/>
      <c r="V164" s="108"/>
      <c r="W164" s="108"/>
      <c r="X164" s="108"/>
      <c r="Y164" s="108"/>
      <c r="Z164" s="20"/>
      <c r="AA164" s="69"/>
      <c r="AB164" s="73"/>
      <c r="AC164" s="73"/>
      <c r="AD164" s="71"/>
      <c r="AE164" s="71"/>
      <c r="AF164" s="71"/>
      <c r="AG164" s="71"/>
      <c r="AH164" s="71"/>
      <c r="AI164" s="71"/>
      <c r="AJ164" s="71"/>
      <c r="AK164" s="71"/>
      <c r="AL164" s="71"/>
      <c r="AM164" s="71"/>
      <c r="AN164" s="71"/>
      <c r="AO164" s="70"/>
    </row>
    <row r="165" spans="1:41" ht="15" customHeight="1">
      <c r="L165" s="108"/>
      <c r="M165" s="108"/>
      <c r="N165" s="108"/>
      <c r="O165" s="108"/>
      <c r="P165" s="108"/>
      <c r="Q165" s="108"/>
      <c r="R165" s="108"/>
      <c r="S165" s="108"/>
      <c r="T165" s="108"/>
      <c r="U165" s="108"/>
      <c r="V165" s="108"/>
      <c r="W165" s="108"/>
      <c r="X165" s="108"/>
      <c r="Y165" s="108"/>
      <c r="Z165" s="20"/>
      <c r="AA165" s="69"/>
      <c r="AB165" s="73"/>
      <c r="AC165" s="73"/>
      <c r="AD165" s="71"/>
      <c r="AE165" s="71"/>
      <c r="AF165" s="71"/>
      <c r="AG165" s="71"/>
      <c r="AH165" s="71"/>
      <c r="AI165" s="71"/>
      <c r="AJ165" s="71"/>
      <c r="AK165" s="71"/>
      <c r="AL165" s="71"/>
      <c r="AM165" s="71"/>
      <c r="AN165" s="71"/>
      <c r="AO165" s="70"/>
    </row>
    <row r="166" spans="1:41" ht="15" customHeight="1">
      <c r="L166" s="108"/>
      <c r="M166" s="108"/>
      <c r="N166" s="108"/>
      <c r="O166" s="108"/>
      <c r="P166" s="108"/>
      <c r="Q166" s="108"/>
      <c r="R166" s="108"/>
      <c r="S166" s="108"/>
      <c r="T166" s="108"/>
      <c r="U166" s="108"/>
      <c r="V166" s="108"/>
      <c r="W166" s="108"/>
      <c r="X166" s="108"/>
      <c r="Y166" s="108"/>
      <c r="Z166" s="20"/>
      <c r="AA166" s="69"/>
      <c r="AB166" s="73"/>
      <c r="AC166" s="73"/>
      <c r="AD166" s="71"/>
      <c r="AE166" s="71"/>
      <c r="AF166" s="71"/>
      <c r="AG166" s="71"/>
      <c r="AH166" s="71"/>
      <c r="AI166" s="71"/>
      <c r="AJ166" s="71"/>
      <c r="AK166" s="71"/>
      <c r="AL166" s="71"/>
      <c r="AM166" s="71"/>
      <c r="AN166" s="71"/>
      <c r="AO166" s="70"/>
    </row>
    <row r="167" spans="1:41" ht="15" customHeight="1">
      <c r="L167" s="108"/>
      <c r="M167" s="108"/>
      <c r="N167" s="108"/>
      <c r="O167" s="108"/>
      <c r="P167" s="108"/>
      <c r="Q167" s="108"/>
      <c r="R167" s="108"/>
      <c r="S167" s="108"/>
      <c r="T167" s="108"/>
      <c r="U167" s="108"/>
      <c r="V167" s="108"/>
      <c r="W167" s="108"/>
      <c r="X167" s="108"/>
      <c r="Y167" s="108"/>
      <c r="Z167" s="20"/>
      <c r="AA167" s="69"/>
      <c r="AB167" s="73"/>
      <c r="AC167" s="73"/>
      <c r="AD167" s="71"/>
      <c r="AE167" s="71"/>
      <c r="AF167" s="71"/>
      <c r="AG167" s="71"/>
      <c r="AH167" s="71"/>
      <c r="AI167" s="71"/>
      <c r="AJ167" s="71"/>
      <c r="AK167" s="71"/>
      <c r="AL167" s="71"/>
      <c r="AM167" s="71"/>
      <c r="AN167" s="71"/>
      <c r="AO167" s="70"/>
    </row>
    <row r="168" spans="1:41" ht="15" customHeight="1">
      <c r="L168" s="108"/>
      <c r="M168" s="108"/>
      <c r="N168" s="108"/>
      <c r="O168" s="108"/>
      <c r="P168" s="108"/>
      <c r="Q168" s="108"/>
      <c r="R168" s="108"/>
      <c r="S168" s="108"/>
      <c r="T168" s="108"/>
      <c r="U168" s="108"/>
      <c r="V168" s="108"/>
      <c r="W168" s="108"/>
      <c r="X168" s="108"/>
      <c r="Y168" s="108"/>
      <c r="Z168" s="20"/>
      <c r="AA168" s="69"/>
      <c r="AB168" s="73"/>
      <c r="AC168" s="73"/>
      <c r="AD168" s="71"/>
      <c r="AE168" s="71"/>
      <c r="AF168" s="71"/>
      <c r="AG168" s="71"/>
      <c r="AH168" s="71"/>
      <c r="AI168" s="71"/>
      <c r="AJ168" s="71"/>
      <c r="AK168" s="71"/>
      <c r="AL168" s="71"/>
      <c r="AM168" s="71"/>
      <c r="AN168" s="71"/>
      <c r="AO168" s="70"/>
    </row>
    <row r="169" spans="1:41" ht="15" customHeight="1">
      <c r="L169" s="108"/>
      <c r="M169" s="108"/>
      <c r="N169" s="108"/>
      <c r="O169" s="108"/>
      <c r="P169" s="108"/>
      <c r="Q169" s="108"/>
      <c r="R169" s="108"/>
      <c r="S169" s="108"/>
      <c r="T169" s="108"/>
      <c r="U169" s="108"/>
      <c r="V169" s="108"/>
      <c r="W169" s="108"/>
      <c r="X169" s="108"/>
      <c r="Y169" s="108"/>
      <c r="Z169" s="20"/>
      <c r="AA169" s="69"/>
      <c r="AB169" s="73"/>
      <c r="AC169" s="73"/>
      <c r="AD169" s="71"/>
      <c r="AE169" s="71"/>
      <c r="AF169" s="71"/>
      <c r="AG169" s="71"/>
      <c r="AH169" s="71"/>
      <c r="AI169" s="71"/>
      <c r="AJ169" s="71"/>
      <c r="AK169" s="71"/>
      <c r="AL169" s="71"/>
      <c r="AM169" s="71"/>
      <c r="AN169" s="71"/>
      <c r="AO169" s="70"/>
    </row>
    <row r="170" spans="1:41" ht="15" customHeight="1">
      <c r="L170" s="108"/>
      <c r="M170" s="108"/>
      <c r="N170" s="108"/>
      <c r="O170" s="108"/>
      <c r="P170" s="108"/>
      <c r="Q170" s="108"/>
      <c r="R170" s="108"/>
      <c r="S170" s="108"/>
      <c r="T170" s="108"/>
      <c r="U170" s="108"/>
      <c r="V170" s="108"/>
      <c r="W170" s="108"/>
      <c r="X170" s="108"/>
      <c r="Y170" s="108"/>
      <c r="Z170" s="20"/>
      <c r="AA170" s="69"/>
      <c r="AB170" s="73"/>
      <c r="AC170" s="73"/>
      <c r="AD170" s="71"/>
      <c r="AE170" s="71"/>
      <c r="AF170" s="71"/>
      <c r="AG170" s="71"/>
      <c r="AH170" s="71"/>
      <c r="AI170" s="71"/>
      <c r="AJ170" s="71"/>
      <c r="AK170" s="71"/>
      <c r="AL170" s="71"/>
      <c r="AM170" s="71"/>
      <c r="AN170" s="71"/>
      <c r="AO170" s="70"/>
    </row>
    <row r="171" spans="1:41" ht="15" customHeight="1">
      <c r="L171" s="108"/>
      <c r="M171" s="108"/>
      <c r="N171" s="108"/>
      <c r="O171" s="108"/>
      <c r="P171" s="108"/>
      <c r="Q171" s="108"/>
      <c r="R171" s="108"/>
      <c r="S171" s="108"/>
      <c r="T171" s="108"/>
      <c r="U171" s="108"/>
      <c r="V171" s="108"/>
      <c r="W171" s="108"/>
      <c r="X171" s="108"/>
      <c r="Y171" s="108"/>
      <c r="Z171" s="20"/>
      <c r="AA171" s="69"/>
      <c r="AB171" s="73"/>
      <c r="AC171" s="73"/>
      <c r="AD171" s="71"/>
      <c r="AE171" s="71"/>
      <c r="AF171" s="71"/>
      <c r="AG171" s="71"/>
      <c r="AH171" s="71"/>
      <c r="AI171" s="71"/>
      <c r="AJ171" s="71"/>
      <c r="AK171" s="71"/>
      <c r="AL171" s="71"/>
      <c r="AM171" s="71"/>
      <c r="AN171" s="71"/>
      <c r="AO171" s="70"/>
    </row>
    <row r="172" spans="1:41" ht="15" customHeight="1">
      <c r="L172" s="108"/>
      <c r="M172" s="108"/>
      <c r="N172" s="108"/>
      <c r="O172" s="108"/>
      <c r="P172" s="108"/>
      <c r="Q172" s="108"/>
      <c r="R172" s="108"/>
      <c r="S172" s="108"/>
      <c r="T172" s="108"/>
      <c r="U172" s="108"/>
      <c r="V172" s="108"/>
      <c r="W172" s="108"/>
      <c r="X172" s="108"/>
      <c r="Y172" s="108"/>
      <c r="Z172" s="20"/>
      <c r="AA172" s="69"/>
      <c r="AB172" s="73"/>
      <c r="AC172" s="73"/>
      <c r="AD172" s="71"/>
      <c r="AE172" s="71"/>
      <c r="AF172" s="71"/>
      <c r="AG172" s="71"/>
      <c r="AH172" s="71"/>
      <c r="AI172" s="71"/>
      <c r="AJ172" s="71"/>
      <c r="AK172" s="71"/>
      <c r="AL172" s="71"/>
      <c r="AM172" s="71"/>
      <c r="AN172" s="71"/>
      <c r="AO172" s="70"/>
    </row>
    <row r="173" spans="1:41" ht="15" customHeight="1">
      <c r="D173" s="1"/>
      <c r="E173" s="1"/>
      <c r="F173" s="1"/>
      <c r="G173" s="1"/>
      <c r="H173" s="1"/>
      <c r="L173" s="108"/>
      <c r="M173" s="108"/>
      <c r="N173" s="108"/>
      <c r="O173" s="108"/>
      <c r="P173" s="108"/>
      <c r="Q173" s="108"/>
      <c r="R173" s="108"/>
      <c r="S173" s="108"/>
      <c r="T173" s="108"/>
      <c r="U173" s="108"/>
      <c r="V173" s="108"/>
      <c r="W173" s="108"/>
      <c r="X173" s="108"/>
      <c r="Y173" s="108"/>
      <c r="Z173" s="20"/>
      <c r="AA173" s="69"/>
      <c r="AB173" s="73"/>
      <c r="AC173" s="73"/>
      <c r="AD173" s="71"/>
      <c r="AE173" s="71"/>
      <c r="AF173" s="71"/>
      <c r="AG173" s="71"/>
      <c r="AH173" s="71"/>
      <c r="AI173" s="71"/>
      <c r="AJ173" s="71"/>
      <c r="AK173" s="71"/>
      <c r="AL173" s="71"/>
      <c r="AM173" s="71"/>
      <c r="AN173" s="71"/>
      <c r="AO173" s="70"/>
    </row>
    <row r="174" spans="1:41" ht="15" customHeight="1">
      <c r="A174" s="1"/>
      <c r="D174" s="1"/>
      <c r="E174" s="1"/>
      <c r="F174" s="1"/>
      <c r="G174" s="1"/>
      <c r="H174" s="1"/>
      <c r="L174" s="108"/>
      <c r="M174" s="108"/>
      <c r="N174" s="108"/>
      <c r="O174" s="108"/>
      <c r="P174" s="108"/>
      <c r="Q174" s="108"/>
      <c r="R174" s="108"/>
      <c r="S174" s="108"/>
      <c r="T174" s="108"/>
      <c r="U174" s="108"/>
      <c r="V174" s="108"/>
      <c r="W174" s="108"/>
      <c r="X174" s="108"/>
      <c r="Y174" s="108"/>
      <c r="Z174" s="20"/>
      <c r="AA174" s="69"/>
      <c r="AB174" s="73"/>
      <c r="AC174" s="73"/>
      <c r="AD174" s="71"/>
      <c r="AE174" s="71"/>
      <c r="AF174" s="71"/>
      <c r="AG174" s="71"/>
      <c r="AH174" s="71"/>
      <c r="AI174" s="71"/>
      <c r="AJ174" s="71"/>
      <c r="AK174" s="71"/>
      <c r="AL174" s="71"/>
      <c r="AM174" s="71"/>
      <c r="AN174" s="71"/>
      <c r="AO174" s="70"/>
    </row>
    <row r="175" spans="1:41" ht="15" customHeight="1">
      <c r="A175" s="1"/>
      <c r="D175" s="1"/>
      <c r="E175" s="1"/>
      <c r="F175" s="1"/>
      <c r="G175" s="1"/>
      <c r="H175" s="1"/>
      <c r="L175" s="108"/>
      <c r="M175" s="108"/>
      <c r="N175" s="108"/>
      <c r="O175" s="108"/>
      <c r="P175" s="108"/>
      <c r="Q175" s="108"/>
      <c r="R175" s="108"/>
      <c r="S175" s="108"/>
      <c r="T175" s="108"/>
      <c r="U175" s="108"/>
      <c r="V175" s="108"/>
      <c r="W175" s="108"/>
      <c r="X175" s="108"/>
      <c r="Y175" s="108"/>
      <c r="Z175" s="20"/>
      <c r="AA175" s="69"/>
      <c r="AB175" s="73"/>
      <c r="AC175" s="73"/>
      <c r="AD175" s="71"/>
      <c r="AE175" s="71"/>
      <c r="AF175" s="71"/>
      <c r="AG175" s="71"/>
      <c r="AH175" s="71"/>
      <c r="AI175" s="71"/>
      <c r="AJ175" s="71"/>
      <c r="AK175" s="71"/>
      <c r="AL175" s="71"/>
      <c r="AM175" s="71"/>
      <c r="AN175" s="71"/>
      <c r="AO175" s="70"/>
    </row>
    <row r="176" spans="1:41" ht="15" customHeight="1">
      <c r="A176" s="1"/>
      <c r="D176" s="1"/>
      <c r="E176" s="1"/>
      <c r="F176" s="1"/>
      <c r="G176" s="1"/>
      <c r="H176" s="1"/>
      <c r="L176" s="108"/>
      <c r="M176" s="108"/>
      <c r="N176" s="108"/>
      <c r="O176" s="108"/>
      <c r="P176" s="108"/>
      <c r="Q176" s="108"/>
      <c r="R176" s="108"/>
      <c r="S176" s="108"/>
      <c r="T176" s="108"/>
      <c r="U176" s="108"/>
      <c r="V176" s="108"/>
      <c r="W176" s="108"/>
      <c r="X176" s="108"/>
      <c r="Y176" s="108"/>
      <c r="Z176" s="20"/>
      <c r="AA176" s="69"/>
      <c r="AB176" s="73"/>
      <c r="AC176" s="73"/>
      <c r="AD176" s="71"/>
      <c r="AE176" s="71"/>
      <c r="AF176" s="71"/>
      <c r="AG176" s="71"/>
      <c r="AH176" s="71"/>
      <c r="AI176" s="71"/>
      <c r="AJ176" s="71"/>
      <c r="AK176" s="71"/>
      <c r="AL176" s="71"/>
      <c r="AM176" s="71"/>
      <c r="AN176" s="71"/>
      <c r="AO176" s="70"/>
    </row>
    <row r="177" spans="1:41" ht="15" customHeight="1">
      <c r="A177" s="1"/>
      <c r="D177" s="1"/>
      <c r="E177" s="1"/>
      <c r="F177" s="1"/>
      <c r="G177" s="1"/>
      <c r="H177" s="1"/>
      <c r="L177" s="108"/>
      <c r="M177" s="108"/>
      <c r="N177" s="108"/>
      <c r="O177" s="108"/>
      <c r="P177" s="108"/>
      <c r="Q177" s="108"/>
      <c r="R177" s="108"/>
      <c r="S177" s="108"/>
      <c r="T177" s="108"/>
      <c r="U177" s="108"/>
      <c r="V177" s="108"/>
      <c r="W177" s="108"/>
      <c r="X177" s="108"/>
      <c r="Y177" s="108"/>
      <c r="Z177" s="20"/>
      <c r="AA177" s="69"/>
      <c r="AB177" s="73"/>
      <c r="AC177" s="73"/>
      <c r="AD177" s="71"/>
      <c r="AE177" s="71"/>
      <c r="AF177" s="71"/>
      <c r="AG177" s="71"/>
      <c r="AH177" s="71"/>
      <c r="AI177" s="71"/>
      <c r="AJ177" s="71"/>
      <c r="AK177" s="71"/>
      <c r="AL177" s="71"/>
      <c r="AM177" s="71"/>
      <c r="AN177" s="71"/>
      <c r="AO177" s="70"/>
    </row>
    <row r="178" spans="1:41" ht="15" customHeight="1">
      <c r="A178" s="1"/>
      <c r="D178" s="1"/>
      <c r="E178" s="1"/>
      <c r="F178" s="1"/>
      <c r="G178" s="1"/>
      <c r="H178" s="1"/>
      <c r="L178" s="108"/>
      <c r="M178" s="108"/>
      <c r="N178" s="108"/>
      <c r="O178" s="108"/>
      <c r="P178" s="108"/>
      <c r="Q178" s="108"/>
      <c r="R178" s="108"/>
      <c r="S178" s="108"/>
      <c r="T178" s="108"/>
      <c r="U178" s="108"/>
      <c r="V178" s="108"/>
      <c r="W178" s="108"/>
      <c r="X178" s="108"/>
      <c r="Y178" s="108"/>
      <c r="Z178" s="20"/>
      <c r="AA178" s="69"/>
      <c r="AB178" s="73"/>
      <c r="AC178" s="73"/>
      <c r="AD178" s="71"/>
      <c r="AE178" s="71"/>
      <c r="AF178" s="71"/>
      <c r="AG178" s="71"/>
      <c r="AH178" s="71"/>
      <c r="AI178" s="71"/>
      <c r="AJ178" s="71"/>
      <c r="AK178" s="71"/>
      <c r="AL178" s="71"/>
      <c r="AM178" s="71"/>
      <c r="AN178" s="71"/>
      <c r="AO178" s="70"/>
    </row>
    <row r="179" spans="1:41" ht="15" customHeight="1">
      <c r="A179" s="1"/>
      <c r="D179" s="1"/>
      <c r="E179" s="1"/>
      <c r="F179" s="1"/>
      <c r="G179" s="1"/>
      <c r="H179" s="1"/>
      <c r="L179" s="108"/>
      <c r="M179" s="108"/>
      <c r="N179" s="108"/>
      <c r="O179" s="108"/>
      <c r="P179" s="108"/>
      <c r="Q179" s="108"/>
      <c r="R179" s="108"/>
      <c r="S179" s="108"/>
      <c r="T179" s="108"/>
      <c r="U179" s="108"/>
      <c r="V179" s="108"/>
      <c r="W179" s="108"/>
      <c r="X179" s="108"/>
      <c r="Y179" s="108"/>
      <c r="Z179" s="20"/>
      <c r="AA179" s="69"/>
      <c r="AB179" s="73"/>
      <c r="AC179" s="73"/>
      <c r="AD179" s="71"/>
      <c r="AE179" s="71"/>
      <c r="AF179" s="71"/>
      <c r="AG179" s="71"/>
      <c r="AH179" s="71"/>
      <c r="AI179" s="71"/>
      <c r="AJ179" s="71"/>
      <c r="AK179" s="71"/>
      <c r="AL179" s="71"/>
      <c r="AM179" s="71"/>
      <c r="AN179" s="71"/>
      <c r="AO179" s="70"/>
    </row>
    <row r="180" spans="1:41" ht="15" customHeight="1">
      <c r="A180" s="1"/>
      <c r="D180" s="1"/>
      <c r="E180" s="1"/>
      <c r="F180" s="1"/>
      <c r="G180" s="1"/>
      <c r="H180" s="1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  <c r="Z180" s="20"/>
      <c r="AA180" s="69"/>
      <c r="AB180" s="73"/>
      <c r="AC180" s="73"/>
      <c r="AD180" s="71"/>
      <c r="AE180" s="71"/>
      <c r="AF180" s="71"/>
      <c r="AG180" s="71"/>
      <c r="AH180" s="71"/>
      <c r="AI180" s="71"/>
      <c r="AJ180" s="71"/>
      <c r="AK180" s="71"/>
      <c r="AL180" s="71"/>
      <c r="AM180" s="71"/>
      <c r="AN180" s="71"/>
      <c r="AO180" s="70"/>
    </row>
    <row r="181" spans="1:41" ht="15" customHeight="1">
      <c r="D181" s="1"/>
      <c r="E181" s="1"/>
      <c r="F181" s="1"/>
      <c r="G181" s="1"/>
      <c r="H181" s="1"/>
      <c r="L181" s="108"/>
      <c r="M181" s="108"/>
      <c r="N181" s="108"/>
      <c r="O181" s="108"/>
      <c r="P181" s="108"/>
      <c r="Q181" s="108"/>
      <c r="R181" s="108"/>
      <c r="S181" s="108"/>
      <c r="T181" s="108"/>
      <c r="U181" s="108"/>
      <c r="V181" s="108"/>
      <c r="W181" s="108"/>
      <c r="X181" s="108"/>
      <c r="Y181" s="108"/>
      <c r="Z181" s="20"/>
      <c r="AA181" s="69"/>
      <c r="AB181" s="73"/>
      <c r="AC181" s="73"/>
      <c r="AD181" s="71"/>
      <c r="AE181" s="71"/>
      <c r="AF181" s="71"/>
      <c r="AG181" s="71"/>
      <c r="AH181" s="71"/>
      <c r="AI181" s="71"/>
      <c r="AJ181" s="71"/>
      <c r="AK181" s="71"/>
      <c r="AL181" s="71"/>
      <c r="AM181" s="71"/>
      <c r="AN181" s="71"/>
      <c r="AO181" s="70"/>
    </row>
    <row r="182" spans="1:41" ht="15" customHeight="1">
      <c r="D182" s="1"/>
      <c r="E182" s="1"/>
      <c r="F182" s="1"/>
      <c r="G182" s="1"/>
      <c r="H182" s="1"/>
      <c r="L182" s="108"/>
      <c r="M182" s="108"/>
      <c r="N182" s="108"/>
      <c r="O182" s="108"/>
      <c r="P182" s="108"/>
      <c r="Q182" s="108"/>
      <c r="R182" s="108"/>
      <c r="S182" s="108"/>
      <c r="T182" s="108"/>
      <c r="U182" s="108"/>
      <c r="V182" s="108"/>
      <c r="W182" s="108"/>
      <c r="X182" s="108"/>
      <c r="Y182" s="108"/>
      <c r="Z182" s="20"/>
      <c r="AA182" s="69"/>
      <c r="AB182" s="73"/>
      <c r="AC182" s="73"/>
      <c r="AD182" s="71"/>
      <c r="AE182" s="71"/>
      <c r="AF182" s="71"/>
      <c r="AG182" s="71"/>
      <c r="AH182" s="71"/>
      <c r="AI182" s="71"/>
      <c r="AJ182" s="71"/>
      <c r="AK182" s="71"/>
      <c r="AL182" s="71"/>
      <c r="AM182" s="71"/>
      <c r="AN182" s="71"/>
      <c r="AO182" s="70"/>
    </row>
    <row r="183" spans="1:41" ht="15" customHeight="1">
      <c r="D183" s="1"/>
      <c r="E183" s="1"/>
      <c r="F183" s="1"/>
      <c r="G183" s="1"/>
      <c r="H183" s="1"/>
      <c r="L183" s="108"/>
      <c r="M183" s="108"/>
      <c r="N183" s="108"/>
      <c r="O183" s="108"/>
      <c r="P183" s="108"/>
      <c r="Q183" s="108"/>
      <c r="R183" s="108"/>
      <c r="S183" s="108"/>
      <c r="T183" s="108"/>
      <c r="U183" s="108"/>
      <c r="V183" s="108"/>
      <c r="W183" s="108"/>
      <c r="X183" s="108"/>
      <c r="Y183" s="108"/>
      <c r="Z183" s="20"/>
      <c r="AA183" s="69"/>
      <c r="AB183" s="73"/>
      <c r="AC183" s="73"/>
      <c r="AD183" s="71"/>
      <c r="AE183" s="71"/>
      <c r="AF183" s="71"/>
      <c r="AG183" s="71"/>
      <c r="AH183" s="71"/>
      <c r="AI183" s="71"/>
      <c r="AJ183" s="71"/>
      <c r="AK183" s="71"/>
      <c r="AL183" s="71"/>
      <c r="AM183" s="71"/>
      <c r="AN183" s="71"/>
      <c r="AO183" s="70"/>
    </row>
    <row r="184" spans="1:41" ht="15" customHeight="1">
      <c r="D184" s="1"/>
      <c r="E184" s="1"/>
      <c r="F184" s="1"/>
      <c r="G184" s="1"/>
      <c r="H184" s="1"/>
      <c r="I184" s="4"/>
      <c r="J184" s="4"/>
      <c r="L184" s="108"/>
      <c r="M184" s="108"/>
      <c r="N184" s="108"/>
      <c r="O184" s="108"/>
      <c r="P184" s="108"/>
      <c r="Q184" s="108"/>
      <c r="R184" s="108"/>
      <c r="S184" s="108"/>
      <c r="T184" s="108"/>
      <c r="U184" s="108"/>
      <c r="V184" s="108"/>
      <c r="W184" s="108"/>
      <c r="X184" s="108"/>
      <c r="Y184" s="108"/>
      <c r="Z184" s="20"/>
      <c r="AA184" s="69"/>
      <c r="AB184" s="73"/>
      <c r="AC184" s="73"/>
      <c r="AD184" s="71"/>
      <c r="AE184" s="71"/>
      <c r="AF184" s="71"/>
      <c r="AG184" s="71"/>
      <c r="AH184" s="71"/>
      <c r="AI184" s="71"/>
      <c r="AJ184" s="71"/>
      <c r="AK184" s="71"/>
      <c r="AL184" s="71"/>
      <c r="AM184" s="71"/>
      <c r="AN184" s="71"/>
      <c r="AO184" s="70"/>
    </row>
    <row r="185" spans="1:41" ht="15" customHeight="1">
      <c r="D185" s="1"/>
      <c r="E185" s="1"/>
      <c r="F185" s="1"/>
      <c r="G185" s="1"/>
      <c r="H185" s="1"/>
      <c r="I185" s="4"/>
      <c r="J185" s="4"/>
      <c r="L185" s="108"/>
      <c r="M185" s="108"/>
      <c r="N185" s="108"/>
      <c r="O185" s="108"/>
      <c r="P185" s="108"/>
      <c r="Q185" s="108"/>
      <c r="R185" s="108"/>
      <c r="S185" s="108"/>
      <c r="T185" s="108"/>
      <c r="U185" s="108"/>
      <c r="V185" s="108"/>
      <c r="W185" s="108"/>
      <c r="X185" s="108"/>
      <c r="Y185" s="108"/>
      <c r="Z185" s="20"/>
      <c r="AA185" s="69"/>
      <c r="AB185" s="73"/>
      <c r="AC185" s="73"/>
      <c r="AD185" s="71"/>
      <c r="AE185" s="71"/>
      <c r="AF185" s="71"/>
      <c r="AG185" s="71"/>
      <c r="AH185" s="71"/>
      <c r="AI185" s="71"/>
      <c r="AJ185" s="71"/>
      <c r="AK185" s="71"/>
      <c r="AL185" s="71"/>
      <c r="AM185" s="71"/>
      <c r="AN185" s="71"/>
      <c r="AO185" s="70"/>
    </row>
    <row r="186" spans="1:41" ht="15" customHeight="1">
      <c r="D186" s="1"/>
      <c r="E186" s="1"/>
      <c r="F186" s="1"/>
      <c r="G186" s="1"/>
      <c r="H186" s="1"/>
      <c r="L186" s="108"/>
      <c r="M186" s="108"/>
      <c r="N186" s="108"/>
      <c r="O186" s="108"/>
      <c r="P186" s="108"/>
      <c r="Q186" s="108"/>
      <c r="R186" s="108"/>
      <c r="S186" s="108"/>
      <c r="T186" s="108"/>
      <c r="U186" s="108"/>
      <c r="V186" s="108"/>
      <c r="W186" s="108"/>
      <c r="X186" s="108"/>
      <c r="Y186" s="108"/>
      <c r="Z186" s="20"/>
      <c r="AA186" s="69"/>
      <c r="AB186" s="73"/>
      <c r="AC186" s="73"/>
      <c r="AD186" s="71"/>
      <c r="AE186" s="71"/>
      <c r="AF186" s="71"/>
      <c r="AG186" s="71"/>
      <c r="AH186" s="71"/>
      <c r="AI186" s="71"/>
      <c r="AJ186" s="71"/>
      <c r="AK186" s="71"/>
      <c r="AL186" s="71"/>
      <c r="AM186" s="71"/>
      <c r="AN186" s="71"/>
      <c r="AO186" s="70"/>
    </row>
    <row r="187" spans="1:41" ht="15" customHeight="1">
      <c r="D187" s="1"/>
      <c r="E187" s="1"/>
      <c r="F187" s="1"/>
      <c r="G187" s="1"/>
      <c r="H187" s="1"/>
      <c r="L187" s="108"/>
      <c r="M187" s="108"/>
      <c r="N187" s="108"/>
      <c r="O187" s="108"/>
      <c r="P187" s="108"/>
      <c r="Q187" s="108"/>
      <c r="R187" s="108"/>
      <c r="S187" s="108"/>
      <c r="T187" s="108"/>
      <c r="U187" s="108"/>
      <c r="V187" s="108"/>
      <c r="W187" s="108"/>
      <c r="X187" s="108"/>
      <c r="Y187" s="108"/>
      <c r="Z187" s="20"/>
      <c r="AA187" s="69"/>
      <c r="AB187" s="73"/>
      <c r="AC187" s="73"/>
      <c r="AD187" s="71"/>
      <c r="AE187" s="71"/>
      <c r="AF187" s="71"/>
      <c r="AG187" s="71"/>
      <c r="AH187" s="71"/>
      <c r="AI187" s="71"/>
      <c r="AJ187" s="71"/>
      <c r="AK187" s="71"/>
      <c r="AL187" s="71"/>
      <c r="AM187" s="71"/>
      <c r="AN187" s="71"/>
      <c r="AO187" s="70"/>
    </row>
    <row r="188" spans="1:41" ht="15" customHeight="1">
      <c r="D188" s="1"/>
      <c r="E188" s="1"/>
      <c r="F188" s="1"/>
      <c r="G188" s="1"/>
      <c r="H188" s="1"/>
      <c r="L188" s="108"/>
      <c r="M188" s="108"/>
      <c r="N188" s="108"/>
      <c r="O188" s="108"/>
      <c r="P188" s="108"/>
      <c r="Q188" s="108"/>
      <c r="R188" s="108"/>
      <c r="S188" s="108"/>
      <c r="T188" s="108"/>
      <c r="U188" s="108"/>
      <c r="V188" s="108"/>
      <c r="W188" s="108"/>
      <c r="X188" s="108"/>
      <c r="Y188" s="108"/>
      <c r="Z188" s="20"/>
      <c r="AA188" s="69"/>
      <c r="AB188" s="73"/>
      <c r="AC188" s="73"/>
      <c r="AD188" s="71"/>
      <c r="AE188" s="71"/>
      <c r="AF188" s="71"/>
      <c r="AG188" s="71"/>
      <c r="AH188" s="71"/>
      <c r="AI188" s="71"/>
      <c r="AJ188" s="71"/>
      <c r="AK188" s="71"/>
      <c r="AL188" s="71"/>
      <c r="AM188" s="71"/>
      <c r="AN188" s="71"/>
      <c r="AO188" s="70"/>
    </row>
    <row r="189" spans="1:41" ht="15" customHeight="1">
      <c r="D189" s="1"/>
      <c r="E189" s="1"/>
      <c r="F189" s="1"/>
      <c r="G189" s="1"/>
      <c r="H189" s="1"/>
      <c r="I189" s="9"/>
      <c r="J189" s="9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8"/>
      <c r="W189" s="108"/>
      <c r="X189" s="108"/>
      <c r="Y189" s="108"/>
      <c r="AA189" s="69"/>
      <c r="AB189" s="73"/>
      <c r="AC189" s="73"/>
      <c r="AD189" s="71"/>
      <c r="AE189" s="71"/>
      <c r="AF189" s="71"/>
      <c r="AG189" s="71"/>
      <c r="AH189" s="71"/>
      <c r="AI189" s="71"/>
      <c r="AJ189" s="71"/>
      <c r="AK189" s="71"/>
      <c r="AL189" s="71"/>
      <c r="AM189" s="71"/>
      <c r="AN189" s="71"/>
      <c r="AO189" s="70"/>
    </row>
    <row r="190" spans="1:41" ht="15" customHeight="1">
      <c r="D190" s="1"/>
      <c r="E190" s="1"/>
      <c r="F190" s="1"/>
      <c r="G190" s="1"/>
      <c r="H190" s="1"/>
      <c r="I190" s="9"/>
      <c r="J190" s="9"/>
      <c r="L190" s="108"/>
      <c r="M190" s="108"/>
      <c r="N190" s="108"/>
      <c r="O190" s="108"/>
      <c r="P190" s="108"/>
      <c r="Q190" s="108"/>
      <c r="R190" s="108"/>
      <c r="S190" s="108"/>
      <c r="T190" s="108"/>
      <c r="U190" s="108"/>
      <c r="V190" s="108"/>
      <c r="W190" s="108"/>
      <c r="X190" s="108"/>
      <c r="Y190" s="108"/>
      <c r="AA190" s="69"/>
      <c r="AB190" s="73"/>
      <c r="AC190" s="73"/>
      <c r="AD190" s="71"/>
      <c r="AE190" s="71"/>
      <c r="AF190" s="71"/>
      <c r="AG190" s="71"/>
      <c r="AH190" s="71"/>
      <c r="AI190" s="71"/>
      <c r="AJ190" s="71"/>
      <c r="AK190" s="71"/>
      <c r="AL190" s="71"/>
      <c r="AM190" s="71"/>
      <c r="AN190" s="71"/>
      <c r="AO190" s="70"/>
    </row>
    <row r="191" spans="1:41">
      <c r="D191" s="7"/>
      <c r="E191" s="7"/>
      <c r="F191" s="7"/>
      <c r="G191" s="7"/>
      <c r="H191" s="7"/>
      <c r="I191" s="9"/>
      <c r="J191" s="9"/>
      <c r="L191" s="108"/>
      <c r="M191" s="108"/>
      <c r="N191" s="108"/>
      <c r="O191" s="108"/>
      <c r="P191" s="108"/>
      <c r="Q191" s="108"/>
      <c r="R191" s="108"/>
      <c r="S191" s="108"/>
      <c r="T191" s="108"/>
      <c r="U191" s="108"/>
      <c r="V191" s="108"/>
      <c r="W191" s="108"/>
      <c r="X191" s="108"/>
      <c r="Y191" s="108"/>
      <c r="AA191" s="69"/>
      <c r="AB191" s="73"/>
      <c r="AC191" s="73"/>
      <c r="AD191" s="71"/>
      <c r="AE191" s="71"/>
      <c r="AF191" s="71"/>
      <c r="AG191" s="71"/>
      <c r="AH191" s="71"/>
      <c r="AI191" s="71"/>
      <c r="AJ191" s="71"/>
      <c r="AK191" s="71"/>
      <c r="AL191" s="71"/>
      <c r="AM191" s="71"/>
      <c r="AN191" s="71"/>
      <c r="AO191" s="70"/>
    </row>
    <row r="192" spans="1:41">
      <c r="I192" s="9"/>
      <c r="J192" s="9"/>
      <c r="L192" s="108"/>
      <c r="M192" s="108"/>
      <c r="N192" s="108"/>
      <c r="O192" s="108"/>
      <c r="P192" s="108"/>
      <c r="Q192" s="108"/>
      <c r="R192" s="108"/>
      <c r="S192" s="108"/>
      <c r="T192" s="108"/>
      <c r="U192" s="108"/>
      <c r="V192" s="108"/>
      <c r="W192" s="108"/>
      <c r="X192" s="108"/>
      <c r="Y192" s="108"/>
      <c r="AA192" s="69"/>
      <c r="AB192" s="73"/>
      <c r="AC192" s="73"/>
      <c r="AD192" s="71"/>
      <c r="AE192" s="71"/>
      <c r="AF192" s="71"/>
      <c r="AG192" s="71"/>
      <c r="AH192" s="71"/>
      <c r="AI192" s="71"/>
      <c r="AJ192" s="71"/>
      <c r="AK192" s="71"/>
      <c r="AL192" s="71"/>
      <c r="AM192" s="71"/>
      <c r="AN192" s="71"/>
      <c r="AO192" s="70"/>
    </row>
    <row r="193" spans="2:41">
      <c r="I193" s="9"/>
      <c r="J193" s="9"/>
      <c r="L193" s="108"/>
      <c r="M193" s="108"/>
      <c r="N193" s="108"/>
      <c r="O193" s="108"/>
      <c r="P193" s="108"/>
      <c r="Q193" s="108"/>
      <c r="R193" s="108"/>
      <c r="S193" s="108"/>
      <c r="T193" s="108"/>
      <c r="U193" s="108"/>
      <c r="V193" s="108"/>
      <c r="W193" s="108"/>
      <c r="X193" s="108"/>
      <c r="Y193" s="108"/>
      <c r="AA193" s="69"/>
      <c r="AB193" s="73"/>
      <c r="AC193" s="73"/>
      <c r="AD193" s="71"/>
      <c r="AE193" s="71"/>
      <c r="AF193" s="71"/>
      <c r="AG193" s="71"/>
      <c r="AH193" s="71"/>
      <c r="AI193" s="71"/>
      <c r="AJ193" s="71"/>
      <c r="AK193" s="71"/>
      <c r="AL193" s="71"/>
      <c r="AM193" s="71"/>
      <c r="AN193" s="71"/>
      <c r="AO193" s="70"/>
    </row>
    <row r="194" spans="2:41">
      <c r="I194" s="9"/>
      <c r="J194" s="9"/>
      <c r="L194" s="108"/>
      <c r="M194" s="108"/>
      <c r="N194" s="108"/>
      <c r="O194" s="108"/>
      <c r="P194" s="108"/>
      <c r="Q194" s="108"/>
      <c r="R194" s="108"/>
      <c r="S194" s="108"/>
      <c r="T194" s="108"/>
      <c r="U194" s="108"/>
      <c r="V194" s="108"/>
      <c r="W194" s="108"/>
      <c r="X194" s="108"/>
      <c r="Y194" s="108"/>
      <c r="AA194" s="69"/>
      <c r="AB194" s="73"/>
      <c r="AC194" s="73"/>
      <c r="AD194" s="71"/>
      <c r="AE194" s="71"/>
      <c r="AF194" s="71"/>
      <c r="AG194" s="71"/>
      <c r="AH194" s="71"/>
      <c r="AI194" s="71"/>
      <c r="AJ194" s="71"/>
      <c r="AK194" s="71"/>
      <c r="AL194" s="71"/>
      <c r="AM194" s="71"/>
      <c r="AN194" s="71"/>
      <c r="AO194" s="70"/>
    </row>
    <row r="195" spans="2:41">
      <c r="I195" s="9"/>
      <c r="J195" s="9"/>
      <c r="L195" s="108"/>
      <c r="M195" s="108"/>
      <c r="N195" s="108"/>
      <c r="O195" s="108"/>
      <c r="P195" s="108"/>
      <c r="Q195" s="108"/>
      <c r="R195" s="108"/>
      <c r="S195" s="108"/>
      <c r="T195" s="108"/>
      <c r="U195" s="108"/>
      <c r="V195" s="108"/>
      <c r="W195" s="108"/>
      <c r="X195" s="108"/>
      <c r="Y195" s="108"/>
      <c r="AA195" s="69"/>
      <c r="AB195" s="73"/>
      <c r="AC195" s="73"/>
      <c r="AD195" s="71"/>
      <c r="AE195" s="71"/>
      <c r="AF195" s="71"/>
      <c r="AG195" s="71"/>
      <c r="AH195" s="71"/>
      <c r="AI195" s="71"/>
      <c r="AJ195" s="71"/>
      <c r="AK195" s="71"/>
      <c r="AL195" s="71"/>
      <c r="AM195" s="71"/>
      <c r="AN195" s="71"/>
      <c r="AO195" s="70"/>
    </row>
    <row r="196" spans="2:41">
      <c r="I196" s="9"/>
      <c r="J196" s="9"/>
      <c r="L196" s="108"/>
      <c r="M196" s="108"/>
      <c r="N196" s="108"/>
      <c r="O196" s="108"/>
      <c r="P196" s="108"/>
      <c r="Q196" s="108"/>
      <c r="R196" s="108"/>
      <c r="S196" s="108"/>
      <c r="T196" s="108"/>
      <c r="U196" s="108"/>
      <c r="V196" s="108"/>
      <c r="W196" s="108"/>
      <c r="X196" s="108"/>
      <c r="Y196" s="108"/>
      <c r="AA196" s="69"/>
      <c r="AB196" s="73"/>
      <c r="AC196" s="73"/>
      <c r="AD196" s="71"/>
      <c r="AE196" s="71"/>
      <c r="AF196" s="71"/>
      <c r="AG196" s="71"/>
      <c r="AH196" s="71"/>
      <c r="AI196" s="71"/>
      <c r="AJ196" s="71"/>
      <c r="AK196" s="71"/>
      <c r="AL196" s="71"/>
      <c r="AM196" s="71"/>
      <c r="AN196" s="71"/>
      <c r="AO196" s="70"/>
    </row>
    <row r="197" spans="2:41">
      <c r="B197" s="30"/>
      <c r="I197" s="9"/>
      <c r="J197" s="9"/>
      <c r="L197" s="108"/>
      <c r="M197" s="108"/>
      <c r="N197" s="108"/>
      <c r="O197" s="108"/>
      <c r="P197" s="108"/>
      <c r="Q197" s="108"/>
      <c r="R197" s="108"/>
      <c r="S197" s="108"/>
      <c r="T197" s="108"/>
      <c r="U197" s="108"/>
      <c r="V197" s="108"/>
      <c r="W197" s="108"/>
      <c r="X197" s="108"/>
      <c r="Y197" s="108"/>
      <c r="AA197" s="69"/>
      <c r="AB197" s="73"/>
      <c r="AC197" s="73"/>
      <c r="AD197" s="71"/>
      <c r="AE197" s="71"/>
      <c r="AF197" s="71"/>
      <c r="AG197" s="71"/>
      <c r="AH197" s="71"/>
      <c r="AI197" s="71"/>
      <c r="AJ197" s="71"/>
      <c r="AK197" s="71"/>
      <c r="AL197" s="71"/>
      <c r="AM197" s="71"/>
      <c r="AN197" s="71"/>
      <c r="AO197" s="70"/>
    </row>
    <row r="198" spans="2:41">
      <c r="B198" s="32"/>
      <c r="I198" s="9"/>
      <c r="J198" s="9"/>
      <c r="L198" s="108"/>
      <c r="M198" s="108"/>
      <c r="N198" s="108"/>
      <c r="O198" s="108"/>
      <c r="P198" s="108"/>
      <c r="Q198" s="108"/>
      <c r="R198" s="108"/>
      <c r="S198" s="108"/>
      <c r="T198" s="108"/>
      <c r="U198" s="108"/>
      <c r="V198" s="108"/>
      <c r="W198" s="108"/>
      <c r="X198" s="108"/>
      <c r="Y198" s="108"/>
      <c r="Z198" s="2"/>
      <c r="AA198" s="69"/>
      <c r="AB198" s="73"/>
      <c r="AC198" s="73"/>
      <c r="AD198" s="71"/>
      <c r="AE198" s="71"/>
      <c r="AF198" s="71"/>
      <c r="AG198" s="71"/>
      <c r="AH198" s="71"/>
      <c r="AI198" s="71"/>
      <c r="AJ198" s="71"/>
      <c r="AK198" s="71"/>
      <c r="AL198" s="71"/>
      <c r="AM198" s="71"/>
      <c r="AN198" s="71"/>
      <c r="AO198" s="70"/>
    </row>
    <row r="199" spans="2:41">
      <c r="I199" s="9"/>
      <c r="J199" s="9"/>
      <c r="L199" s="108"/>
      <c r="M199" s="108"/>
      <c r="N199" s="108"/>
      <c r="O199" s="108"/>
      <c r="P199" s="108"/>
      <c r="Q199" s="108"/>
      <c r="R199" s="108"/>
      <c r="S199" s="108"/>
      <c r="T199" s="108"/>
      <c r="U199" s="108"/>
      <c r="V199" s="108"/>
      <c r="W199" s="108"/>
      <c r="X199" s="108"/>
      <c r="Y199" s="108"/>
      <c r="Z199" s="2"/>
      <c r="AA199" s="69"/>
      <c r="AB199" s="73"/>
      <c r="AC199" s="73"/>
      <c r="AD199" s="71"/>
      <c r="AE199" s="71"/>
      <c r="AF199" s="71"/>
      <c r="AG199" s="71"/>
      <c r="AH199" s="71"/>
      <c r="AI199" s="71"/>
      <c r="AJ199" s="71"/>
      <c r="AK199" s="71"/>
      <c r="AL199" s="71"/>
      <c r="AM199" s="71"/>
      <c r="AN199" s="71"/>
      <c r="AO199" s="70"/>
    </row>
    <row r="200" spans="2:41">
      <c r="I200" s="9"/>
      <c r="J200" s="9"/>
      <c r="L200" s="108"/>
      <c r="M200" s="108"/>
      <c r="N200" s="108"/>
      <c r="O200" s="108"/>
      <c r="P200" s="108"/>
      <c r="Q200" s="108"/>
      <c r="R200" s="108"/>
      <c r="S200" s="108"/>
      <c r="T200" s="108"/>
      <c r="U200" s="108"/>
      <c r="V200" s="108"/>
      <c r="W200" s="108"/>
      <c r="X200" s="108"/>
      <c r="Y200" s="108"/>
      <c r="Z200" s="2"/>
      <c r="AA200" s="69"/>
      <c r="AB200" s="73"/>
      <c r="AC200" s="73"/>
      <c r="AD200" s="71"/>
      <c r="AE200" s="71"/>
      <c r="AF200" s="71"/>
      <c r="AG200" s="71"/>
      <c r="AH200" s="71"/>
      <c r="AI200" s="71"/>
      <c r="AJ200" s="71"/>
      <c r="AK200" s="71"/>
      <c r="AL200" s="71"/>
      <c r="AM200" s="71"/>
      <c r="AN200" s="71"/>
      <c r="AO200" s="70"/>
    </row>
    <row r="201" spans="2:41">
      <c r="L201" s="108"/>
      <c r="M201" s="108"/>
      <c r="N201" s="108"/>
      <c r="O201" s="108"/>
      <c r="P201" s="108"/>
      <c r="Q201" s="108"/>
      <c r="R201" s="108"/>
      <c r="S201" s="108"/>
      <c r="T201" s="108"/>
      <c r="U201" s="108"/>
      <c r="V201" s="108"/>
      <c r="W201" s="108"/>
      <c r="X201" s="108"/>
      <c r="Y201" s="108"/>
      <c r="Z201" s="2"/>
      <c r="AA201" s="69"/>
      <c r="AB201" s="73"/>
      <c r="AC201" s="73"/>
      <c r="AD201" s="71"/>
      <c r="AE201" s="71"/>
      <c r="AF201" s="71"/>
      <c r="AG201" s="71"/>
      <c r="AH201" s="71"/>
      <c r="AI201" s="71"/>
      <c r="AJ201" s="71"/>
      <c r="AK201" s="71"/>
      <c r="AL201" s="71"/>
      <c r="AM201" s="71"/>
      <c r="AN201" s="71"/>
      <c r="AO201" s="70"/>
    </row>
    <row r="202" spans="2:41">
      <c r="L202" s="108"/>
      <c r="M202" s="108"/>
      <c r="N202" s="108"/>
      <c r="O202" s="108"/>
      <c r="P202" s="108"/>
      <c r="Q202" s="108"/>
      <c r="R202" s="108"/>
      <c r="S202" s="108"/>
      <c r="T202" s="108"/>
      <c r="U202" s="108"/>
      <c r="V202" s="108"/>
      <c r="W202" s="108"/>
      <c r="X202" s="108"/>
      <c r="Y202" s="108"/>
      <c r="Z202" s="2"/>
      <c r="AA202" s="69"/>
      <c r="AB202" s="73"/>
      <c r="AC202" s="73"/>
      <c r="AD202" s="71"/>
      <c r="AE202" s="71"/>
      <c r="AF202" s="71"/>
      <c r="AG202" s="71"/>
      <c r="AH202" s="71"/>
      <c r="AI202" s="71"/>
      <c r="AJ202" s="71"/>
      <c r="AK202" s="71"/>
      <c r="AL202" s="71"/>
      <c r="AM202" s="71"/>
      <c r="AN202" s="71"/>
      <c r="AO202" s="70"/>
    </row>
    <row r="203" spans="2:41">
      <c r="L203" s="108"/>
      <c r="M203" s="108"/>
      <c r="N203" s="108"/>
      <c r="O203" s="108"/>
      <c r="P203" s="108"/>
      <c r="Q203" s="108"/>
      <c r="R203" s="108"/>
      <c r="S203" s="108"/>
      <c r="T203" s="108"/>
      <c r="U203" s="108"/>
      <c r="V203" s="108"/>
      <c r="W203" s="108"/>
      <c r="X203" s="108"/>
      <c r="Y203" s="108"/>
      <c r="Z203" s="65"/>
      <c r="AA203" s="69"/>
      <c r="AB203" s="73"/>
      <c r="AC203" s="73"/>
      <c r="AD203" s="71"/>
      <c r="AE203" s="71"/>
      <c r="AF203" s="71"/>
      <c r="AG203" s="71"/>
      <c r="AH203" s="71"/>
      <c r="AI203" s="71"/>
      <c r="AJ203" s="71"/>
      <c r="AK203" s="71"/>
      <c r="AL203" s="71"/>
      <c r="AM203" s="71"/>
      <c r="AN203" s="71"/>
      <c r="AO203" s="70"/>
    </row>
    <row r="204" spans="2:41">
      <c r="L204" s="108"/>
      <c r="M204" s="108"/>
      <c r="N204" s="108"/>
      <c r="O204" s="108"/>
      <c r="P204" s="108"/>
      <c r="Q204" s="108"/>
      <c r="R204" s="108"/>
      <c r="S204" s="108"/>
      <c r="T204" s="108"/>
      <c r="U204" s="108"/>
      <c r="V204" s="108"/>
      <c r="W204" s="108"/>
      <c r="X204" s="108"/>
      <c r="Y204" s="108"/>
      <c r="Z204" s="20"/>
      <c r="AA204" s="69"/>
      <c r="AB204" s="73"/>
      <c r="AC204" s="73"/>
      <c r="AD204" s="71"/>
      <c r="AE204" s="71"/>
      <c r="AF204" s="71"/>
      <c r="AG204" s="71"/>
      <c r="AH204" s="71"/>
      <c r="AI204" s="71"/>
      <c r="AJ204" s="71"/>
      <c r="AK204" s="71"/>
      <c r="AL204" s="71"/>
      <c r="AM204" s="71"/>
      <c r="AN204" s="71"/>
      <c r="AO204" s="70"/>
    </row>
    <row r="205" spans="2:41">
      <c r="L205" s="108"/>
      <c r="M205" s="108"/>
      <c r="N205" s="108"/>
      <c r="O205" s="108"/>
      <c r="P205" s="108"/>
      <c r="Q205" s="108"/>
      <c r="R205" s="108"/>
      <c r="S205" s="108"/>
      <c r="T205" s="108"/>
      <c r="U205" s="108"/>
      <c r="V205" s="108"/>
      <c r="W205" s="108"/>
      <c r="X205" s="108"/>
      <c r="Y205" s="108"/>
      <c r="Z205" s="20"/>
      <c r="AA205" s="69"/>
      <c r="AB205" s="73"/>
      <c r="AC205" s="73"/>
      <c r="AD205" s="71"/>
      <c r="AE205" s="71"/>
      <c r="AF205" s="71"/>
      <c r="AG205" s="71"/>
      <c r="AH205" s="71"/>
      <c r="AI205" s="71"/>
      <c r="AJ205" s="71"/>
      <c r="AK205" s="71"/>
      <c r="AL205" s="71"/>
      <c r="AM205" s="71"/>
      <c r="AN205" s="71"/>
      <c r="AO205" s="70"/>
    </row>
    <row r="206" spans="2:41">
      <c r="Z206" s="20"/>
      <c r="AA206" s="69"/>
      <c r="AB206" s="73"/>
      <c r="AC206" s="73"/>
      <c r="AD206" s="71"/>
      <c r="AE206" s="71"/>
      <c r="AF206" s="71"/>
      <c r="AG206" s="71"/>
      <c r="AH206" s="71"/>
      <c r="AI206" s="71"/>
      <c r="AJ206" s="71"/>
      <c r="AK206" s="71"/>
      <c r="AL206" s="71"/>
      <c r="AM206" s="71"/>
      <c r="AN206" s="71"/>
      <c r="AO206" s="70"/>
    </row>
    <row r="207" spans="2:41">
      <c r="L207" s="4"/>
      <c r="M207" s="3"/>
      <c r="N207" s="3"/>
      <c r="O207" s="7"/>
      <c r="P207" s="3"/>
      <c r="Q207" s="7"/>
      <c r="R207" s="3"/>
      <c r="W207" s="6"/>
      <c r="Z207" s="20"/>
      <c r="AA207" s="69"/>
      <c r="AB207" s="73"/>
      <c r="AC207" s="73"/>
      <c r="AD207" s="71"/>
      <c r="AE207" s="71"/>
      <c r="AF207" s="71"/>
      <c r="AG207" s="71"/>
      <c r="AH207" s="71"/>
      <c r="AI207" s="71"/>
      <c r="AJ207" s="71"/>
      <c r="AK207" s="71"/>
      <c r="AL207" s="71"/>
      <c r="AM207" s="71"/>
      <c r="AN207" s="71"/>
      <c r="AO207" s="70"/>
    </row>
    <row r="208" spans="2:41">
      <c r="L208" s="4"/>
      <c r="M208" s="3"/>
      <c r="N208" s="3"/>
      <c r="O208" s="7"/>
      <c r="P208" s="3"/>
      <c r="Z208" s="20"/>
      <c r="AA208" s="69"/>
      <c r="AB208" s="73"/>
      <c r="AC208" s="73"/>
      <c r="AD208" s="71"/>
      <c r="AE208" s="71"/>
      <c r="AF208" s="71"/>
      <c r="AG208" s="71"/>
      <c r="AH208" s="71"/>
      <c r="AI208" s="71"/>
      <c r="AJ208" s="71"/>
      <c r="AK208" s="71"/>
      <c r="AL208" s="71"/>
      <c r="AM208" s="71"/>
      <c r="AN208" s="71"/>
      <c r="AO208" s="70"/>
    </row>
    <row r="209" spans="12:41">
      <c r="L209" s="4"/>
      <c r="M209" s="3"/>
      <c r="N209" s="3"/>
      <c r="O209" s="7"/>
      <c r="P209" s="3"/>
      <c r="Z209" s="20"/>
      <c r="AA209" s="69"/>
      <c r="AB209" s="73"/>
      <c r="AC209" s="73"/>
      <c r="AD209" s="71"/>
      <c r="AE209" s="71"/>
      <c r="AF209" s="71"/>
      <c r="AG209" s="71"/>
      <c r="AH209" s="71"/>
      <c r="AI209" s="71"/>
      <c r="AJ209" s="71"/>
      <c r="AK209" s="71"/>
      <c r="AL209" s="71"/>
      <c r="AM209" s="71"/>
      <c r="AN209" s="71"/>
      <c r="AO209" s="70"/>
    </row>
    <row r="210" spans="12:41">
      <c r="L210" s="4"/>
      <c r="M210" s="3"/>
      <c r="N210" s="3"/>
      <c r="O210" s="7"/>
      <c r="P210" s="3"/>
      <c r="Z210" s="20"/>
      <c r="AA210" s="69"/>
      <c r="AB210" s="73"/>
      <c r="AC210" s="73"/>
      <c r="AD210" s="71"/>
      <c r="AE210" s="71"/>
      <c r="AF210" s="71"/>
      <c r="AG210" s="71"/>
      <c r="AH210" s="71"/>
      <c r="AI210" s="71"/>
      <c r="AJ210" s="71"/>
      <c r="AK210" s="71"/>
      <c r="AL210" s="71"/>
      <c r="AM210" s="71"/>
      <c r="AN210" s="71"/>
      <c r="AO210" s="70"/>
    </row>
    <row r="211" spans="12:41">
      <c r="L211" s="4"/>
      <c r="M211" s="3"/>
      <c r="N211" s="3"/>
      <c r="O211" s="7"/>
      <c r="P211" s="3"/>
      <c r="Z211" s="20"/>
      <c r="AA211" s="69"/>
      <c r="AB211" s="73"/>
      <c r="AC211" s="73"/>
      <c r="AD211" s="71"/>
      <c r="AE211" s="71"/>
      <c r="AF211" s="71"/>
      <c r="AG211" s="71"/>
      <c r="AH211" s="71"/>
      <c r="AI211" s="71"/>
      <c r="AJ211" s="71"/>
      <c r="AK211" s="71"/>
      <c r="AL211" s="71"/>
      <c r="AM211" s="71"/>
      <c r="AN211" s="71"/>
      <c r="AO211" s="70"/>
    </row>
    <row r="212" spans="12:41">
      <c r="L212" s="4"/>
      <c r="M212" s="3"/>
      <c r="N212" s="3"/>
      <c r="O212" s="7"/>
      <c r="P212" s="3"/>
      <c r="Z212" s="20"/>
      <c r="AO212" s="77"/>
    </row>
    <row r="213" spans="12:41">
      <c r="L213" s="4"/>
      <c r="M213" s="3"/>
      <c r="N213" s="3"/>
      <c r="O213" s="7"/>
      <c r="P213" s="3"/>
      <c r="Z213" s="20"/>
      <c r="AO213" s="77"/>
    </row>
    <row r="214" spans="12:41">
      <c r="L214" s="4"/>
      <c r="M214" s="3"/>
      <c r="N214" s="3"/>
      <c r="O214" s="7"/>
      <c r="P214" s="3"/>
      <c r="Z214" s="20"/>
      <c r="AO214" s="77"/>
    </row>
    <row r="215" spans="12:41">
      <c r="L215" s="4"/>
      <c r="M215" s="3"/>
      <c r="N215" s="3"/>
      <c r="O215" s="7"/>
      <c r="P215" s="3"/>
      <c r="Z215" s="20"/>
      <c r="AO215" s="77"/>
    </row>
    <row r="216" spans="12:41">
      <c r="L216" s="4"/>
      <c r="M216" s="3"/>
      <c r="N216" s="3"/>
      <c r="O216" s="7"/>
      <c r="P216" s="3"/>
      <c r="Z216" s="20"/>
      <c r="AO216" s="77"/>
    </row>
    <row r="217" spans="12:41">
      <c r="L217" s="4"/>
      <c r="M217" s="3"/>
      <c r="N217" s="3"/>
      <c r="O217" s="7"/>
      <c r="P217" s="3"/>
      <c r="Z217" s="20"/>
      <c r="AO217" s="77"/>
    </row>
    <row r="218" spans="12:41">
      <c r="L218" s="4"/>
      <c r="M218" s="3"/>
      <c r="N218" s="3"/>
      <c r="O218" s="7"/>
      <c r="P218" s="3"/>
      <c r="Z218" s="20"/>
      <c r="AO218" s="77"/>
    </row>
    <row r="219" spans="12:41">
      <c r="L219" s="4"/>
      <c r="M219" s="3"/>
      <c r="N219" s="3"/>
      <c r="O219" s="7"/>
      <c r="P219" s="3"/>
      <c r="Z219" s="20"/>
      <c r="AO219" s="77"/>
    </row>
    <row r="220" spans="12:41">
      <c r="L220" s="4"/>
      <c r="M220" s="3"/>
      <c r="N220" s="3"/>
      <c r="O220" s="7"/>
      <c r="P220" s="3"/>
      <c r="Z220" s="20"/>
      <c r="AO220" s="77"/>
    </row>
    <row r="221" spans="12:41">
      <c r="L221" s="4"/>
      <c r="M221" s="3"/>
      <c r="N221" s="3"/>
      <c r="O221" s="7"/>
      <c r="P221" s="3"/>
      <c r="Z221" s="20"/>
      <c r="AO221" s="77"/>
    </row>
    <row r="222" spans="12:41">
      <c r="L222" s="4"/>
      <c r="M222" s="3"/>
      <c r="N222" s="3"/>
      <c r="O222" s="7"/>
      <c r="P222" s="3"/>
      <c r="Z222" s="20"/>
      <c r="AO222" s="77"/>
    </row>
    <row r="223" spans="12:41">
      <c r="L223" s="4"/>
      <c r="M223" s="3"/>
      <c r="N223" s="3"/>
      <c r="O223" s="7"/>
      <c r="P223" s="3"/>
      <c r="Z223" s="20"/>
      <c r="AO223" s="77"/>
    </row>
    <row r="224" spans="12:41">
      <c r="L224" s="4"/>
      <c r="M224" s="3"/>
      <c r="N224" s="3"/>
      <c r="O224" s="7"/>
      <c r="P224" s="3"/>
      <c r="Z224" s="20"/>
      <c r="AO224" s="77"/>
    </row>
    <row r="225" spans="12:41">
      <c r="L225" s="4"/>
      <c r="M225" s="3"/>
      <c r="N225" s="3"/>
      <c r="O225" s="7"/>
      <c r="P225" s="3"/>
      <c r="Z225" s="20"/>
      <c r="AO225" s="77"/>
    </row>
    <row r="226" spans="12:41">
      <c r="L226" s="4"/>
      <c r="M226" s="3"/>
      <c r="N226" s="3"/>
      <c r="O226" s="7"/>
      <c r="P226" s="3"/>
      <c r="Z226" s="20"/>
      <c r="AO226" s="77"/>
    </row>
    <row r="227" spans="12:41">
      <c r="L227" s="4"/>
      <c r="M227" s="3"/>
      <c r="N227" s="3"/>
      <c r="O227" s="7"/>
      <c r="P227" s="3"/>
      <c r="Z227" s="20"/>
      <c r="AO227" s="77"/>
    </row>
    <row r="228" spans="12:41">
      <c r="L228" s="4"/>
      <c r="M228" s="3"/>
      <c r="N228" s="3"/>
      <c r="O228" s="7"/>
      <c r="P228" s="3"/>
      <c r="Z228" s="20"/>
      <c r="AO228" s="77"/>
    </row>
    <row r="229" spans="12:41">
      <c r="L229" s="4"/>
      <c r="M229" s="3"/>
      <c r="N229" s="3"/>
      <c r="O229" s="7"/>
      <c r="P229" s="3"/>
      <c r="Z229" s="20"/>
      <c r="AO229" s="77"/>
    </row>
    <row r="230" spans="12:41">
      <c r="L230" s="4"/>
      <c r="M230" s="3"/>
      <c r="N230" s="3"/>
      <c r="O230" s="7"/>
      <c r="P230" s="3"/>
      <c r="Z230" s="20"/>
      <c r="AO230" s="77"/>
    </row>
    <row r="231" spans="12:41">
      <c r="L231" s="4"/>
      <c r="M231" s="3"/>
      <c r="N231" s="3"/>
      <c r="O231" s="7"/>
      <c r="P231" s="3"/>
      <c r="Z231" s="20"/>
      <c r="AO231" s="77"/>
    </row>
    <row r="232" spans="12:41">
      <c r="L232" s="4"/>
      <c r="M232" s="3"/>
      <c r="N232" s="3"/>
      <c r="O232" s="7"/>
      <c r="P232" s="3"/>
      <c r="Z232" s="20"/>
      <c r="AO232" s="77"/>
    </row>
    <row r="233" spans="12:41">
      <c r="L233" s="4"/>
      <c r="M233" s="3"/>
      <c r="N233" s="3"/>
      <c r="O233" s="7"/>
      <c r="P233" s="3"/>
      <c r="Z233" s="20"/>
      <c r="AO233" s="77"/>
    </row>
    <row r="234" spans="12:41">
      <c r="L234" s="4"/>
      <c r="M234" s="3"/>
      <c r="N234" s="3"/>
      <c r="O234" s="7"/>
      <c r="P234" s="3"/>
      <c r="Z234" s="20"/>
      <c r="AO234" s="77"/>
    </row>
    <row r="235" spans="12:41">
      <c r="L235" s="4"/>
      <c r="M235" s="3"/>
      <c r="N235" s="3"/>
      <c r="O235" s="7"/>
      <c r="P235" s="3"/>
      <c r="Z235" s="20"/>
      <c r="AO235" s="77"/>
    </row>
    <row r="236" spans="12:41">
      <c r="L236" s="4"/>
      <c r="M236" s="3"/>
      <c r="N236" s="3"/>
      <c r="O236" s="7"/>
      <c r="P236" s="3"/>
      <c r="Z236" s="20"/>
      <c r="AO236" s="77"/>
    </row>
    <row r="237" spans="12:41">
      <c r="L237" s="4"/>
      <c r="M237" s="3"/>
      <c r="N237" s="3"/>
      <c r="O237" s="7"/>
      <c r="P237" s="3"/>
      <c r="Z237" s="20"/>
      <c r="AO237" s="77"/>
    </row>
    <row r="238" spans="12:41">
      <c r="L238" s="4"/>
      <c r="M238" s="3"/>
      <c r="N238" s="3"/>
      <c r="O238" s="7"/>
      <c r="P238" s="3"/>
      <c r="Z238" s="20"/>
    </row>
    <row r="239" spans="12:41">
      <c r="L239" s="4"/>
      <c r="M239" s="3"/>
      <c r="N239" s="3"/>
      <c r="O239" s="7"/>
      <c r="P239" s="3"/>
      <c r="Z239" s="20"/>
    </row>
    <row r="240" spans="12:41">
      <c r="L240" s="4"/>
      <c r="M240" s="3"/>
      <c r="N240" s="3"/>
      <c r="O240" s="7"/>
      <c r="P240" s="3"/>
      <c r="Z240" s="20"/>
    </row>
    <row r="241" spans="9:41">
      <c r="L241" s="4"/>
      <c r="M241" s="3"/>
      <c r="N241" s="3"/>
      <c r="O241" s="7"/>
      <c r="P241" s="3"/>
      <c r="Z241" s="20"/>
    </row>
    <row r="242" spans="9:41">
      <c r="L242" s="4"/>
      <c r="M242" s="3"/>
      <c r="N242" s="3"/>
      <c r="O242" s="7"/>
      <c r="P242" s="3"/>
      <c r="Z242" s="20"/>
    </row>
    <row r="243" spans="9:41">
      <c r="I243" s="7"/>
      <c r="J243" s="7"/>
      <c r="L243" s="4"/>
      <c r="M243" s="3"/>
      <c r="N243" s="3"/>
      <c r="O243" s="7"/>
      <c r="P243" s="3"/>
      <c r="Z243" s="20"/>
      <c r="AD243" s="84"/>
      <c r="AE243" s="84"/>
      <c r="AF243" s="84"/>
      <c r="AG243" s="84"/>
      <c r="AH243" s="84"/>
      <c r="AI243" s="84"/>
      <c r="AJ243" s="84"/>
      <c r="AK243" s="84"/>
      <c r="AL243" s="84"/>
      <c r="AM243" s="84"/>
      <c r="AN243" s="84"/>
    </row>
    <row r="244" spans="9:41">
      <c r="I244" s="41"/>
      <c r="J244" s="41"/>
      <c r="L244" s="4"/>
      <c r="M244" s="3"/>
      <c r="N244" s="3"/>
      <c r="O244" s="7"/>
      <c r="P244" s="3"/>
      <c r="Z244" s="20"/>
      <c r="AD244" s="84"/>
      <c r="AE244" s="84"/>
      <c r="AF244" s="84"/>
      <c r="AG244" s="84"/>
      <c r="AH244" s="84"/>
      <c r="AI244" s="84"/>
      <c r="AJ244" s="84"/>
      <c r="AK244" s="84"/>
      <c r="AL244" s="84"/>
      <c r="AM244" s="84"/>
      <c r="AN244" s="84"/>
    </row>
    <row r="245" spans="9:41">
      <c r="I245" s="41"/>
      <c r="J245" s="41"/>
      <c r="L245" s="4"/>
      <c r="M245" s="3"/>
      <c r="N245" s="3"/>
      <c r="O245" s="7"/>
      <c r="P245" s="3"/>
      <c r="Z245" s="20"/>
      <c r="AD245" s="84"/>
      <c r="AE245" s="84"/>
      <c r="AF245" s="84"/>
      <c r="AG245" s="84"/>
      <c r="AH245" s="84"/>
      <c r="AI245" s="84"/>
      <c r="AJ245" s="84"/>
      <c r="AK245" s="84"/>
      <c r="AL245" s="84"/>
      <c r="AM245" s="84"/>
      <c r="AN245" s="84"/>
    </row>
    <row r="246" spans="9:41">
      <c r="L246" s="4"/>
      <c r="M246" s="3"/>
      <c r="N246" s="3"/>
      <c r="O246" s="7"/>
      <c r="P246" s="3"/>
      <c r="Z246" s="20"/>
      <c r="AD246" s="84"/>
      <c r="AE246" s="84"/>
      <c r="AF246" s="84"/>
      <c r="AG246" s="84"/>
      <c r="AH246" s="84"/>
      <c r="AI246" s="84"/>
      <c r="AJ246" s="84"/>
      <c r="AK246" s="84"/>
      <c r="AL246" s="84"/>
      <c r="AM246" s="84"/>
      <c r="AN246" s="84"/>
    </row>
    <row r="247" spans="9:41">
      <c r="L247" s="4"/>
      <c r="M247" s="3"/>
      <c r="N247" s="3"/>
      <c r="O247" s="7"/>
      <c r="P247" s="3"/>
      <c r="Z247" s="20"/>
      <c r="AD247" s="84"/>
      <c r="AE247" s="84"/>
      <c r="AF247" s="84"/>
      <c r="AG247" s="84"/>
      <c r="AH247" s="84"/>
      <c r="AI247" s="84"/>
      <c r="AJ247" s="84"/>
      <c r="AK247" s="84"/>
      <c r="AL247" s="84"/>
      <c r="AM247" s="84"/>
      <c r="AN247" s="84"/>
    </row>
    <row r="248" spans="9:41">
      <c r="L248" s="4"/>
      <c r="M248" s="3"/>
      <c r="N248" s="3"/>
      <c r="O248" s="7"/>
      <c r="P248" s="3"/>
      <c r="Z248" s="20"/>
      <c r="AD248" s="84"/>
      <c r="AE248" s="84"/>
      <c r="AF248" s="84"/>
      <c r="AG248" s="84"/>
      <c r="AH248" s="84"/>
      <c r="AI248" s="84"/>
      <c r="AJ248" s="84"/>
      <c r="AK248" s="84"/>
      <c r="AL248" s="84"/>
      <c r="AM248" s="84"/>
      <c r="AN248" s="84"/>
    </row>
    <row r="249" spans="9:41">
      <c r="L249" s="4"/>
      <c r="M249" s="3"/>
      <c r="N249" s="3"/>
      <c r="O249" s="7"/>
      <c r="P249" s="3"/>
      <c r="Z249" s="20"/>
      <c r="AD249" s="84"/>
      <c r="AE249" s="84"/>
      <c r="AF249" s="84"/>
      <c r="AG249" s="84"/>
      <c r="AH249" s="84"/>
      <c r="AI249" s="84"/>
      <c r="AJ249" s="84"/>
      <c r="AK249" s="84"/>
      <c r="AL249" s="84"/>
      <c r="AM249" s="84"/>
      <c r="AN249" s="84"/>
      <c r="AO249" s="78"/>
    </row>
    <row r="250" spans="9:41">
      <c r="L250" s="4"/>
      <c r="M250" s="3"/>
      <c r="N250" s="3"/>
      <c r="O250" s="7"/>
      <c r="P250" s="3"/>
      <c r="Z250" s="20"/>
      <c r="AD250" s="84"/>
      <c r="AE250" s="84"/>
      <c r="AF250" s="84"/>
      <c r="AG250" s="84"/>
      <c r="AH250" s="84"/>
      <c r="AI250" s="84"/>
      <c r="AJ250" s="84"/>
      <c r="AK250" s="84"/>
      <c r="AL250" s="84"/>
      <c r="AM250" s="84"/>
      <c r="AN250" s="84"/>
      <c r="AO250" s="78"/>
    </row>
    <row r="251" spans="9:41">
      <c r="L251" s="4"/>
      <c r="M251" s="3"/>
      <c r="N251" s="3"/>
      <c r="O251" s="7"/>
      <c r="P251" s="3"/>
      <c r="Z251" s="20"/>
      <c r="AD251" s="84"/>
      <c r="AE251" s="84"/>
      <c r="AF251" s="84"/>
      <c r="AG251" s="84"/>
      <c r="AH251" s="84"/>
      <c r="AI251" s="84"/>
      <c r="AJ251" s="84"/>
      <c r="AK251" s="84"/>
      <c r="AL251" s="84"/>
      <c r="AM251" s="84"/>
      <c r="AN251" s="84"/>
      <c r="AO251" s="78"/>
    </row>
    <row r="252" spans="9:41">
      <c r="L252" s="4"/>
      <c r="M252" s="3"/>
      <c r="N252" s="3"/>
      <c r="O252" s="7"/>
      <c r="P252" s="3"/>
      <c r="Z252" s="20"/>
      <c r="AD252" s="84"/>
      <c r="AE252" s="84"/>
      <c r="AF252" s="84"/>
      <c r="AG252" s="84"/>
      <c r="AH252" s="84"/>
      <c r="AI252" s="84"/>
      <c r="AJ252" s="84"/>
      <c r="AK252" s="84"/>
      <c r="AL252" s="84"/>
      <c r="AM252" s="84"/>
      <c r="AN252" s="84"/>
      <c r="AO252" s="78"/>
    </row>
    <row r="253" spans="9:41">
      <c r="L253" s="4"/>
      <c r="M253" s="3"/>
      <c r="N253" s="3"/>
      <c r="O253" s="7"/>
      <c r="P253" s="3"/>
      <c r="Z253" s="20"/>
      <c r="AD253" s="84"/>
      <c r="AE253" s="84"/>
      <c r="AF253" s="84"/>
      <c r="AG253" s="84"/>
      <c r="AH253" s="84"/>
      <c r="AI253" s="84"/>
      <c r="AJ253" s="84"/>
      <c r="AK253" s="84"/>
      <c r="AL253" s="84"/>
      <c r="AM253" s="84"/>
      <c r="AN253" s="84"/>
      <c r="AO253" s="78"/>
    </row>
    <row r="254" spans="9:41">
      <c r="L254" s="4"/>
      <c r="M254" s="3"/>
      <c r="N254" s="3"/>
      <c r="O254" s="7"/>
      <c r="P254" s="3"/>
      <c r="Z254" s="20"/>
      <c r="AD254" s="84"/>
      <c r="AE254" s="84"/>
      <c r="AF254" s="84"/>
      <c r="AG254" s="84"/>
      <c r="AH254" s="84"/>
      <c r="AI254" s="84"/>
      <c r="AJ254" s="84"/>
      <c r="AK254" s="84"/>
      <c r="AL254" s="84"/>
      <c r="AM254" s="84"/>
      <c r="AN254" s="84"/>
      <c r="AO254" s="78"/>
    </row>
    <row r="255" spans="9:41">
      <c r="L255" s="4"/>
      <c r="M255" s="3"/>
      <c r="N255" s="3"/>
      <c r="O255" s="7"/>
      <c r="P255" s="3"/>
      <c r="Z255" s="20"/>
      <c r="AD255" s="84"/>
      <c r="AE255" s="84"/>
      <c r="AF255" s="84"/>
      <c r="AG255" s="84"/>
      <c r="AH255" s="84"/>
      <c r="AI255" s="84"/>
      <c r="AJ255" s="84"/>
      <c r="AK255" s="84"/>
      <c r="AL255" s="84"/>
      <c r="AM255" s="84"/>
      <c r="AN255" s="84"/>
      <c r="AO255" s="78"/>
    </row>
    <row r="256" spans="9:41">
      <c r="L256" s="4"/>
      <c r="M256" s="3"/>
      <c r="N256" s="3"/>
      <c r="O256" s="7"/>
      <c r="P256" s="3"/>
      <c r="Z256" s="20"/>
      <c r="AD256" s="84"/>
      <c r="AE256" s="84"/>
      <c r="AF256" s="84"/>
      <c r="AG256" s="84"/>
      <c r="AH256" s="84"/>
      <c r="AI256" s="84"/>
      <c r="AJ256" s="84"/>
      <c r="AK256" s="84"/>
      <c r="AL256" s="84"/>
      <c r="AM256" s="84"/>
      <c r="AN256" s="84"/>
      <c r="AO256" s="78"/>
    </row>
    <row r="257" spans="12:41">
      <c r="L257" s="4"/>
      <c r="M257" s="3"/>
      <c r="N257" s="3"/>
      <c r="O257" s="7"/>
      <c r="P257" s="3"/>
      <c r="Z257" s="20"/>
      <c r="AD257" s="84"/>
      <c r="AE257" s="84"/>
      <c r="AF257" s="84"/>
      <c r="AG257" s="84"/>
      <c r="AH257" s="84"/>
      <c r="AI257" s="84"/>
      <c r="AJ257" s="84"/>
      <c r="AK257" s="84"/>
      <c r="AL257" s="84"/>
      <c r="AM257" s="84"/>
      <c r="AN257" s="84"/>
      <c r="AO257" s="78"/>
    </row>
    <row r="258" spans="12:41">
      <c r="L258" s="4"/>
      <c r="M258" s="3"/>
      <c r="N258" s="3"/>
      <c r="O258" s="7"/>
      <c r="P258" s="3"/>
      <c r="Z258" s="20"/>
      <c r="AD258" s="84"/>
      <c r="AE258" s="84"/>
      <c r="AF258" s="84"/>
      <c r="AG258" s="84"/>
      <c r="AH258" s="84"/>
      <c r="AI258" s="84"/>
      <c r="AJ258" s="84"/>
      <c r="AK258" s="84"/>
      <c r="AL258" s="84"/>
      <c r="AM258" s="84"/>
      <c r="AN258" s="84"/>
      <c r="AO258" s="78"/>
    </row>
    <row r="259" spans="12:41">
      <c r="L259" s="4"/>
      <c r="M259" s="3"/>
      <c r="N259" s="3"/>
      <c r="O259" s="7"/>
      <c r="P259" s="3"/>
      <c r="Z259" s="20"/>
      <c r="AD259" s="84"/>
      <c r="AE259" s="84"/>
      <c r="AF259" s="84"/>
      <c r="AG259" s="84"/>
      <c r="AH259" s="84"/>
      <c r="AI259" s="84"/>
      <c r="AJ259" s="84"/>
      <c r="AK259" s="84"/>
      <c r="AL259" s="84"/>
      <c r="AM259" s="84"/>
      <c r="AN259" s="84"/>
      <c r="AO259" s="78"/>
    </row>
    <row r="260" spans="12:41">
      <c r="L260" s="4"/>
      <c r="M260" s="3"/>
      <c r="N260" s="3"/>
      <c r="O260" s="7"/>
      <c r="P260" s="3"/>
      <c r="Z260" s="20"/>
      <c r="AD260" s="84"/>
      <c r="AE260" s="84"/>
      <c r="AF260" s="84"/>
      <c r="AG260" s="84"/>
      <c r="AH260" s="84"/>
      <c r="AI260" s="84"/>
      <c r="AJ260" s="84"/>
      <c r="AK260" s="84"/>
      <c r="AL260" s="84"/>
      <c r="AM260" s="84"/>
      <c r="AN260" s="84"/>
      <c r="AO260" s="78"/>
    </row>
    <row r="261" spans="12:41">
      <c r="L261" s="4"/>
      <c r="M261" s="3"/>
      <c r="N261" s="3"/>
      <c r="O261" s="7"/>
      <c r="P261" s="3"/>
      <c r="Z261" s="20"/>
      <c r="AD261" s="84"/>
      <c r="AE261" s="84"/>
      <c r="AF261" s="84"/>
      <c r="AG261" s="84"/>
      <c r="AH261" s="84"/>
      <c r="AI261" s="84"/>
      <c r="AJ261" s="84"/>
      <c r="AK261" s="84"/>
      <c r="AL261" s="84"/>
      <c r="AM261" s="84"/>
      <c r="AN261" s="84"/>
      <c r="AO261" s="78"/>
    </row>
    <row r="262" spans="12:41">
      <c r="L262" s="4"/>
      <c r="M262" s="3"/>
      <c r="N262" s="3"/>
      <c r="O262" s="7"/>
      <c r="P262" s="3"/>
      <c r="Z262" s="20"/>
      <c r="AD262" s="84"/>
      <c r="AE262" s="84"/>
      <c r="AF262" s="84"/>
      <c r="AG262" s="84"/>
      <c r="AH262" s="84"/>
      <c r="AI262" s="84"/>
      <c r="AJ262" s="84"/>
      <c r="AK262" s="84"/>
      <c r="AL262" s="84"/>
      <c r="AM262" s="84"/>
      <c r="AN262" s="84"/>
      <c r="AO262" s="78"/>
    </row>
    <row r="263" spans="12:41">
      <c r="L263" s="4"/>
      <c r="M263" s="3"/>
      <c r="N263" s="3"/>
      <c r="O263" s="7"/>
      <c r="P263" s="3"/>
      <c r="Z263" s="20"/>
      <c r="AD263" s="84"/>
      <c r="AE263" s="84"/>
      <c r="AF263" s="84"/>
      <c r="AG263" s="84"/>
      <c r="AH263" s="84"/>
      <c r="AI263" s="84"/>
      <c r="AJ263" s="84"/>
      <c r="AK263" s="84"/>
      <c r="AL263" s="84"/>
      <c r="AM263" s="84"/>
      <c r="AN263" s="84"/>
      <c r="AO263" s="78"/>
    </row>
    <row r="264" spans="12:41">
      <c r="P264" s="3"/>
      <c r="Z264" s="20"/>
      <c r="AD264" s="84"/>
      <c r="AE264" s="84"/>
      <c r="AF264" s="84"/>
      <c r="AG264" s="84"/>
      <c r="AH264" s="84"/>
      <c r="AI264" s="84"/>
      <c r="AJ264" s="84"/>
      <c r="AK264" s="84"/>
      <c r="AL264" s="84"/>
      <c r="AM264" s="84"/>
      <c r="AN264" s="84"/>
      <c r="AO264" s="78"/>
    </row>
    <row r="265" spans="12:41">
      <c r="P265" s="3"/>
      <c r="Z265" s="20"/>
      <c r="AD265" s="84"/>
      <c r="AE265" s="84"/>
      <c r="AF265" s="84"/>
      <c r="AG265" s="84"/>
      <c r="AH265" s="84"/>
      <c r="AI265" s="84"/>
      <c r="AJ265" s="84"/>
      <c r="AK265" s="84"/>
      <c r="AL265" s="84"/>
      <c r="AM265" s="84"/>
      <c r="AN265" s="84"/>
      <c r="AO265" s="78"/>
    </row>
    <row r="266" spans="12:41">
      <c r="P266" s="3"/>
      <c r="Z266" s="20"/>
      <c r="AD266" s="84"/>
      <c r="AE266" s="84"/>
      <c r="AF266" s="84"/>
      <c r="AG266" s="84"/>
      <c r="AH266" s="84"/>
      <c r="AI266" s="84"/>
      <c r="AJ266" s="84"/>
      <c r="AK266" s="84"/>
      <c r="AL266" s="84"/>
      <c r="AM266" s="84"/>
      <c r="AN266" s="84"/>
      <c r="AO266" s="78"/>
    </row>
    <row r="267" spans="12:41">
      <c r="P267" s="3"/>
      <c r="Z267" s="20"/>
      <c r="AD267" s="84"/>
      <c r="AE267" s="84"/>
      <c r="AF267" s="84"/>
      <c r="AG267" s="84"/>
      <c r="AH267" s="84"/>
      <c r="AI267" s="84"/>
      <c r="AJ267" s="84"/>
      <c r="AK267" s="84"/>
      <c r="AL267" s="84"/>
      <c r="AM267" s="84"/>
      <c r="AN267" s="84"/>
      <c r="AO267" s="78"/>
    </row>
    <row r="268" spans="12:41">
      <c r="P268" s="3"/>
      <c r="Z268" s="20"/>
      <c r="AD268" s="84"/>
      <c r="AE268" s="84"/>
      <c r="AF268" s="84"/>
      <c r="AG268" s="84"/>
      <c r="AH268" s="84"/>
      <c r="AI268" s="84"/>
      <c r="AJ268" s="84"/>
      <c r="AK268" s="84"/>
      <c r="AL268" s="84"/>
      <c r="AM268" s="84"/>
      <c r="AN268" s="84"/>
      <c r="AO268" s="78"/>
    </row>
    <row r="269" spans="12:41">
      <c r="Z269" s="20"/>
      <c r="AD269" s="84"/>
      <c r="AE269" s="84"/>
      <c r="AF269" s="84"/>
      <c r="AG269" s="84"/>
      <c r="AH269" s="84"/>
      <c r="AI269" s="84"/>
      <c r="AJ269" s="84"/>
      <c r="AK269" s="84"/>
      <c r="AL269" s="84"/>
      <c r="AM269" s="84"/>
      <c r="AN269" s="84"/>
      <c r="AO269" s="78"/>
    </row>
    <row r="270" spans="12:41">
      <c r="Z270" s="20"/>
      <c r="AD270" s="84"/>
      <c r="AE270" s="84"/>
      <c r="AF270" s="84"/>
      <c r="AG270" s="84"/>
      <c r="AH270" s="84"/>
      <c r="AI270" s="84"/>
      <c r="AJ270" s="84"/>
      <c r="AK270" s="84"/>
      <c r="AL270" s="84"/>
      <c r="AM270" s="84"/>
      <c r="AN270" s="84"/>
      <c r="AO270" s="78"/>
    </row>
    <row r="271" spans="12:41">
      <c r="Z271" s="20"/>
      <c r="AD271" s="84"/>
      <c r="AE271" s="84"/>
      <c r="AF271" s="84"/>
      <c r="AG271" s="84"/>
      <c r="AH271" s="84"/>
      <c r="AI271" s="84"/>
      <c r="AJ271" s="84"/>
      <c r="AK271" s="84"/>
      <c r="AL271" s="84"/>
      <c r="AM271" s="84"/>
      <c r="AN271" s="84"/>
      <c r="AO271" s="78"/>
    </row>
    <row r="272" spans="12:41">
      <c r="Z272" s="20"/>
      <c r="AD272" s="84"/>
      <c r="AE272" s="84"/>
      <c r="AF272" s="84"/>
      <c r="AG272" s="84"/>
      <c r="AH272" s="84"/>
      <c r="AI272" s="84"/>
      <c r="AJ272" s="84"/>
      <c r="AK272" s="84"/>
      <c r="AL272" s="84"/>
      <c r="AM272" s="84"/>
      <c r="AN272" s="84"/>
      <c r="AO272" s="78"/>
    </row>
    <row r="273" spans="26:41">
      <c r="Z273" s="20"/>
      <c r="AD273" s="84"/>
      <c r="AE273" s="84"/>
      <c r="AF273" s="84"/>
      <c r="AG273" s="84"/>
      <c r="AH273" s="84"/>
      <c r="AI273" s="84"/>
      <c r="AJ273" s="84"/>
      <c r="AK273" s="84"/>
      <c r="AL273" s="84"/>
      <c r="AM273" s="84"/>
      <c r="AN273" s="84"/>
      <c r="AO273" s="78"/>
    </row>
    <row r="274" spans="26:41">
      <c r="Z274" s="20"/>
      <c r="AD274" s="84"/>
      <c r="AE274" s="84"/>
      <c r="AF274" s="84"/>
      <c r="AG274" s="84"/>
      <c r="AH274" s="84"/>
      <c r="AI274" s="84"/>
      <c r="AJ274" s="84"/>
      <c r="AK274" s="84"/>
      <c r="AL274" s="84"/>
      <c r="AM274" s="84"/>
      <c r="AN274" s="84"/>
      <c r="AO274" s="78"/>
    </row>
    <row r="275" spans="26:41">
      <c r="Z275" s="20"/>
      <c r="AD275" s="84"/>
      <c r="AE275" s="84"/>
      <c r="AF275" s="84"/>
      <c r="AG275" s="84"/>
      <c r="AH275" s="84"/>
      <c r="AI275" s="84"/>
      <c r="AJ275" s="84"/>
      <c r="AK275" s="84"/>
      <c r="AL275" s="84"/>
      <c r="AM275" s="84"/>
      <c r="AN275" s="84"/>
      <c r="AO275" s="78"/>
    </row>
    <row r="276" spans="26:41">
      <c r="Z276" s="20"/>
      <c r="AD276" s="84"/>
      <c r="AE276" s="84"/>
      <c r="AF276" s="84"/>
      <c r="AG276" s="84"/>
      <c r="AH276" s="84"/>
      <c r="AI276" s="84"/>
      <c r="AJ276" s="84"/>
      <c r="AK276" s="84"/>
      <c r="AL276" s="84"/>
      <c r="AM276" s="84"/>
      <c r="AN276" s="84"/>
      <c r="AO276" s="78"/>
    </row>
    <row r="277" spans="26:41">
      <c r="Z277" s="20"/>
      <c r="AD277" s="84"/>
      <c r="AE277" s="84"/>
      <c r="AF277" s="84"/>
      <c r="AG277" s="84"/>
      <c r="AH277" s="84"/>
      <c r="AI277" s="84"/>
      <c r="AJ277" s="84"/>
      <c r="AK277" s="84"/>
      <c r="AL277" s="84"/>
      <c r="AM277" s="84"/>
      <c r="AN277" s="84"/>
      <c r="AO277" s="78"/>
    </row>
    <row r="278" spans="26:41">
      <c r="AA278" s="85"/>
      <c r="AB278" s="85"/>
      <c r="AC278" s="85"/>
      <c r="AD278" s="85"/>
      <c r="AE278" s="85"/>
      <c r="AF278" s="85"/>
      <c r="AG278" s="85"/>
      <c r="AH278" s="85"/>
      <c r="AI278" s="85"/>
      <c r="AJ278" s="85"/>
      <c r="AK278" s="85"/>
      <c r="AL278" s="85"/>
      <c r="AM278" s="85"/>
      <c r="AN278" s="85"/>
      <c r="AO278" s="85"/>
    </row>
    <row r="279" spans="26:41">
      <c r="AD279" s="84"/>
      <c r="AE279" s="84"/>
      <c r="AF279" s="84"/>
      <c r="AG279" s="84"/>
      <c r="AH279" s="84"/>
      <c r="AI279" s="84"/>
      <c r="AJ279" s="84"/>
      <c r="AK279" s="84"/>
      <c r="AL279" s="84"/>
      <c r="AM279" s="84"/>
      <c r="AN279" s="84"/>
      <c r="AO279" s="84"/>
    </row>
    <row r="280" spans="26:41">
      <c r="AD280" s="78"/>
      <c r="AE280" s="78"/>
      <c r="AF280" s="78"/>
      <c r="AG280" s="78"/>
      <c r="AH280" s="78"/>
      <c r="AI280" s="78"/>
      <c r="AJ280" s="78"/>
      <c r="AK280" s="78"/>
      <c r="AL280" s="78"/>
      <c r="AM280" s="78"/>
      <c r="AN280" s="78"/>
      <c r="AO280" s="78"/>
    </row>
    <row r="281" spans="26:41">
      <c r="AD281" s="78"/>
      <c r="AE281" s="78"/>
      <c r="AF281" s="78"/>
      <c r="AG281" s="78"/>
      <c r="AH281" s="78"/>
      <c r="AI281" s="78"/>
      <c r="AJ281" s="78"/>
      <c r="AK281" s="78"/>
      <c r="AL281" s="78"/>
      <c r="AM281" s="78"/>
      <c r="AN281" s="78"/>
      <c r="AO281" s="78"/>
    </row>
    <row r="282" spans="26:41">
      <c r="AD282" s="78"/>
      <c r="AE282" s="78"/>
      <c r="AF282" s="78"/>
      <c r="AG282" s="78"/>
      <c r="AH282" s="78"/>
      <c r="AI282" s="78"/>
      <c r="AJ282" s="78"/>
      <c r="AK282" s="78"/>
      <c r="AL282" s="78"/>
      <c r="AM282" s="78"/>
      <c r="AN282" s="78"/>
      <c r="AO282" s="78"/>
    </row>
    <row r="283" spans="26:41">
      <c r="AD283" s="78"/>
      <c r="AE283" s="78"/>
      <c r="AF283" s="78"/>
      <c r="AG283" s="78"/>
      <c r="AH283" s="78"/>
      <c r="AI283" s="78"/>
      <c r="AJ283" s="78"/>
      <c r="AK283" s="78"/>
      <c r="AL283" s="78"/>
      <c r="AM283" s="78"/>
      <c r="AN283" s="78"/>
      <c r="AO283" s="78"/>
    </row>
    <row r="284" spans="26:41">
      <c r="AD284" s="78"/>
      <c r="AE284" s="78"/>
      <c r="AF284" s="78"/>
      <c r="AG284" s="78"/>
      <c r="AH284" s="78"/>
      <c r="AI284" s="78"/>
      <c r="AJ284" s="78"/>
      <c r="AK284" s="78"/>
      <c r="AL284" s="78"/>
      <c r="AM284" s="78"/>
      <c r="AN284" s="78"/>
      <c r="AO284" s="78"/>
    </row>
    <row r="285" spans="26:41">
      <c r="AD285" s="78"/>
      <c r="AE285" s="78"/>
      <c r="AF285" s="78"/>
      <c r="AG285" s="78"/>
      <c r="AH285" s="78"/>
      <c r="AI285" s="78"/>
      <c r="AJ285" s="78"/>
      <c r="AK285" s="78"/>
      <c r="AL285" s="78"/>
      <c r="AM285" s="78"/>
      <c r="AN285" s="78"/>
      <c r="AO285" s="78"/>
    </row>
    <row r="286" spans="26:41">
      <c r="AD286" s="78"/>
      <c r="AE286" s="78"/>
      <c r="AF286" s="78"/>
      <c r="AG286" s="78"/>
      <c r="AH286" s="78"/>
      <c r="AI286" s="78"/>
      <c r="AJ286" s="78"/>
      <c r="AK286" s="78"/>
      <c r="AL286" s="78"/>
      <c r="AM286" s="78"/>
      <c r="AN286" s="78"/>
      <c r="AO286" s="78"/>
    </row>
    <row r="287" spans="26:41">
      <c r="AD287" s="78"/>
      <c r="AE287" s="78"/>
      <c r="AF287" s="78"/>
      <c r="AG287" s="78"/>
      <c r="AH287" s="78"/>
      <c r="AI287" s="78"/>
      <c r="AJ287" s="78"/>
      <c r="AK287" s="78"/>
      <c r="AL287" s="78"/>
      <c r="AM287" s="78"/>
      <c r="AN287" s="78"/>
      <c r="AO287" s="78"/>
    </row>
    <row r="288" spans="26:41">
      <c r="AD288" s="78"/>
      <c r="AE288" s="78"/>
      <c r="AF288" s="78"/>
      <c r="AG288" s="78"/>
      <c r="AH288" s="78"/>
      <c r="AI288" s="78"/>
      <c r="AJ288" s="78"/>
      <c r="AK288" s="78"/>
      <c r="AL288" s="78"/>
      <c r="AM288" s="78"/>
      <c r="AN288" s="78"/>
      <c r="AO288" s="78"/>
    </row>
    <row r="289" spans="30:41">
      <c r="AD289" s="78"/>
      <c r="AE289" s="78"/>
      <c r="AF289" s="78"/>
      <c r="AG289" s="78"/>
      <c r="AH289" s="78"/>
      <c r="AI289" s="78"/>
      <c r="AJ289" s="78"/>
      <c r="AK289" s="78"/>
      <c r="AL289" s="78"/>
      <c r="AM289" s="78"/>
      <c r="AN289" s="78"/>
      <c r="AO289" s="78"/>
    </row>
    <row r="290" spans="30:41">
      <c r="AD290" s="78"/>
      <c r="AE290" s="78"/>
      <c r="AF290" s="78"/>
      <c r="AG290" s="78"/>
      <c r="AH290" s="78"/>
      <c r="AI290" s="78"/>
      <c r="AJ290" s="78"/>
      <c r="AK290" s="78"/>
      <c r="AL290" s="78"/>
      <c r="AM290" s="78"/>
      <c r="AN290" s="78"/>
      <c r="AO290" s="78"/>
    </row>
    <row r="291" spans="30:41">
      <c r="AD291" s="78"/>
      <c r="AE291" s="78"/>
      <c r="AF291" s="78"/>
      <c r="AG291" s="78"/>
      <c r="AH291" s="78"/>
      <c r="AI291" s="78"/>
      <c r="AJ291" s="78"/>
      <c r="AK291" s="78"/>
      <c r="AL291" s="78"/>
      <c r="AM291" s="78"/>
      <c r="AN291" s="78"/>
      <c r="AO291" s="78"/>
    </row>
    <row r="292" spans="30:41">
      <c r="AD292" s="78"/>
      <c r="AE292" s="78"/>
      <c r="AF292" s="78"/>
      <c r="AG292" s="78"/>
      <c r="AH292" s="78"/>
      <c r="AI292" s="78"/>
      <c r="AJ292" s="78"/>
      <c r="AK292" s="78"/>
      <c r="AL292" s="78"/>
      <c r="AM292" s="78"/>
      <c r="AN292" s="78"/>
      <c r="AO292" s="78"/>
    </row>
    <row r="293" spans="30:41">
      <c r="AD293" s="78"/>
      <c r="AE293" s="78"/>
      <c r="AF293" s="78"/>
      <c r="AG293" s="78"/>
      <c r="AH293" s="78"/>
      <c r="AI293" s="78"/>
      <c r="AJ293" s="78"/>
      <c r="AK293" s="78"/>
      <c r="AL293" s="78"/>
      <c r="AM293" s="78"/>
      <c r="AN293" s="78"/>
      <c r="AO293" s="78"/>
    </row>
    <row r="294" spans="30:41">
      <c r="AD294" s="78"/>
      <c r="AE294" s="78"/>
      <c r="AF294" s="78"/>
      <c r="AG294" s="78"/>
      <c r="AH294" s="78"/>
      <c r="AI294" s="78"/>
      <c r="AJ294" s="78"/>
      <c r="AK294" s="78"/>
      <c r="AL294" s="78"/>
      <c r="AM294" s="78"/>
      <c r="AN294" s="78"/>
      <c r="AO294" s="78"/>
    </row>
    <row r="295" spans="30:41">
      <c r="AD295" s="78"/>
      <c r="AE295" s="78"/>
      <c r="AF295" s="78"/>
      <c r="AG295" s="78"/>
      <c r="AH295" s="78"/>
      <c r="AI295" s="78"/>
      <c r="AJ295" s="78"/>
      <c r="AK295" s="78"/>
      <c r="AL295" s="78"/>
      <c r="AM295" s="78"/>
      <c r="AN295" s="78"/>
      <c r="AO295" s="78"/>
    </row>
    <row r="296" spans="30:41">
      <c r="AD296" s="78"/>
      <c r="AE296" s="78"/>
      <c r="AF296" s="78"/>
      <c r="AG296" s="78"/>
      <c r="AH296" s="78"/>
      <c r="AI296" s="78"/>
      <c r="AJ296" s="78"/>
      <c r="AK296" s="78"/>
      <c r="AL296" s="78"/>
      <c r="AM296" s="78"/>
      <c r="AN296" s="78"/>
      <c r="AO296" s="78"/>
    </row>
    <row r="297" spans="30:41">
      <c r="AD297" s="78"/>
      <c r="AE297" s="78"/>
      <c r="AF297" s="78"/>
      <c r="AG297" s="78"/>
      <c r="AH297" s="78"/>
      <c r="AI297" s="78"/>
      <c r="AJ297" s="78"/>
      <c r="AK297" s="78"/>
      <c r="AL297" s="78"/>
      <c r="AM297" s="78"/>
      <c r="AN297" s="78"/>
      <c r="AO297" s="78"/>
    </row>
    <row r="298" spans="30:41">
      <c r="AD298" s="78"/>
      <c r="AE298" s="78"/>
      <c r="AF298" s="78"/>
      <c r="AG298" s="78"/>
      <c r="AH298" s="78"/>
      <c r="AI298" s="78"/>
      <c r="AJ298" s="78"/>
      <c r="AK298" s="78"/>
      <c r="AL298" s="78"/>
      <c r="AM298" s="78"/>
      <c r="AN298" s="78"/>
      <c r="AO298" s="78"/>
    </row>
    <row r="299" spans="30:41">
      <c r="AD299" s="78"/>
      <c r="AE299" s="78"/>
      <c r="AF299" s="78"/>
      <c r="AG299" s="78"/>
      <c r="AH299" s="78"/>
      <c r="AI299" s="78"/>
      <c r="AJ299" s="78"/>
      <c r="AK299" s="78"/>
      <c r="AL299" s="78"/>
      <c r="AM299" s="78"/>
      <c r="AN299" s="78"/>
      <c r="AO299" s="78"/>
    </row>
    <row r="300" spans="30:41">
      <c r="AD300" s="78"/>
      <c r="AE300" s="78"/>
      <c r="AF300" s="78"/>
      <c r="AG300" s="78"/>
      <c r="AH300" s="78"/>
      <c r="AI300" s="78"/>
      <c r="AJ300" s="78"/>
      <c r="AK300" s="78"/>
      <c r="AL300" s="78"/>
      <c r="AM300" s="78"/>
      <c r="AN300" s="78"/>
      <c r="AO300" s="78"/>
    </row>
    <row r="301" spans="30:41">
      <c r="AD301" s="78"/>
      <c r="AE301" s="78"/>
      <c r="AF301" s="78"/>
      <c r="AG301" s="78"/>
      <c r="AH301" s="78"/>
      <c r="AI301" s="78"/>
      <c r="AJ301" s="78"/>
      <c r="AK301" s="78"/>
      <c r="AL301" s="78"/>
      <c r="AM301" s="78"/>
      <c r="AN301" s="78"/>
      <c r="AO301" s="78"/>
    </row>
    <row r="302" spans="30:41">
      <c r="AD302" s="78"/>
      <c r="AE302" s="78"/>
      <c r="AF302" s="78"/>
      <c r="AG302" s="78"/>
      <c r="AH302" s="78"/>
      <c r="AI302" s="78"/>
      <c r="AJ302" s="78"/>
      <c r="AK302" s="78"/>
      <c r="AL302" s="78"/>
      <c r="AM302" s="78"/>
      <c r="AN302" s="78"/>
      <c r="AO302" s="78"/>
    </row>
    <row r="303" spans="30:41">
      <c r="AD303" s="78"/>
      <c r="AE303" s="78"/>
      <c r="AF303" s="78"/>
      <c r="AG303" s="78"/>
      <c r="AH303" s="78"/>
      <c r="AI303" s="78"/>
      <c r="AJ303" s="78"/>
      <c r="AK303" s="78"/>
      <c r="AL303" s="78"/>
      <c r="AM303" s="78"/>
      <c r="AN303" s="78"/>
      <c r="AO303" s="78"/>
    </row>
    <row r="304" spans="30:41">
      <c r="AD304" s="78"/>
      <c r="AE304" s="78"/>
      <c r="AF304" s="78"/>
      <c r="AG304" s="78"/>
      <c r="AH304" s="78"/>
      <c r="AI304" s="78"/>
      <c r="AJ304" s="78"/>
      <c r="AK304" s="78"/>
      <c r="AL304" s="78"/>
      <c r="AM304" s="78"/>
      <c r="AN304" s="78"/>
      <c r="AO304" s="78"/>
    </row>
    <row r="305" spans="30:41">
      <c r="AD305" s="78"/>
      <c r="AE305" s="78"/>
      <c r="AF305" s="78"/>
      <c r="AG305" s="78"/>
      <c r="AH305" s="78"/>
      <c r="AI305" s="78"/>
      <c r="AJ305" s="78"/>
      <c r="AK305" s="78"/>
      <c r="AL305" s="78"/>
      <c r="AM305" s="78"/>
      <c r="AN305" s="78"/>
      <c r="AO305" s="78"/>
    </row>
    <row r="306" spans="30:41">
      <c r="AD306" s="78"/>
      <c r="AE306" s="78"/>
      <c r="AF306" s="78"/>
      <c r="AG306" s="78"/>
      <c r="AH306" s="78"/>
      <c r="AI306" s="78"/>
      <c r="AJ306" s="78"/>
      <c r="AK306" s="78"/>
      <c r="AL306" s="78"/>
      <c r="AM306" s="78"/>
      <c r="AN306" s="78"/>
      <c r="AO306" s="78"/>
    </row>
    <row r="307" spans="30:41">
      <c r="AD307" s="78"/>
      <c r="AE307" s="78"/>
      <c r="AF307" s="78"/>
      <c r="AG307" s="78"/>
      <c r="AH307" s="78"/>
      <c r="AI307" s="78"/>
      <c r="AJ307" s="78"/>
      <c r="AK307" s="78"/>
      <c r="AL307" s="78"/>
      <c r="AM307" s="78"/>
      <c r="AN307" s="78"/>
      <c r="AO307" s="78"/>
    </row>
    <row r="308" spans="30:41">
      <c r="AD308" s="78"/>
      <c r="AE308" s="78"/>
      <c r="AF308" s="78"/>
      <c r="AG308" s="78"/>
      <c r="AH308" s="78"/>
      <c r="AI308" s="78"/>
      <c r="AJ308" s="78"/>
      <c r="AK308" s="78"/>
      <c r="AL308" s="78"/>
      <c r="AM308" s="78"/>
      <c r="AN308" s="78"/>
      <c r="AO308" s="78"/>
    </row>
    <row r="309" spans="30:41">
      <c r="AD309" s="78"/>
      <c r="AE309" s="78"/>
      <c r="AF309" s="78"/>
      <c r="AG309" s="78"/>
      <c r="AH309" s="78"/>
      <c r="AI309" s="78"/>
      <c r="AJ309" s="78"/>
      <c r="AK309" s="78"/>
      <c r="AL309" s="78"/>
      <c r="AM309" s="78"/>
      <c r="AN309" s="78"/>
      <c r="AO309" s="78"/>
    </row>
    <row r="310" spans="30:41">
      <c r="AD310" s="78"/>
      <c r="AE310" s="78"/>
      <c r="AF310" s="78"/>
      <c r="AG310" s="78"/>
      <c r="AH310" s="78"/>
      <c r="AI310" s="78"/>
      <c r="AJ310" s="78"/>
      <c r="AK310" s="78"/>
      <c r="AL310" s="78"/>
      <c r="AM310" s="78"/>
      <c r="AN310" s="78"/>
      <c r="AO310" s="78"/>
    </row>
    <row r="311" spans="30:41">
      <c r="AD311" s="78"/>
      <c r="AE311" s="78"/>
      <c r="AF311" s="78"/>
      <c r="AG311" s="78"/>
      <c r="AH311" s="78"/>
      <c r="AI311" s="78"/>
      <c r="AJ311" s="78"/>
      <c r="AK311" s="78"/>
      <c r="AL311" s="78"/>
      <c r="AM311" s="78"/>
      <c r="AN311" s="78"/>
      <c r="AO311" s="78"/>
    </row>
    <row r="312" spans="30:41">
      <c r="AD312" s="78"/>
      <c r="AE312" s="78"/>
      <c r="AF312" s="78"/>
      <c r="AG312" s="78"/>
      <c r="AH312" s="78"/>
      <c r="AI312" s="78"/>
      <c r="AJ312" s="78"/>
      <c r="AK312" s="78"/>
      <c r="AL312" s="78"/>
      <c r="AM312" s="78"/>
      <c r="AN312" s="78"/>
      <c r="AO312" s="78"/>
    </row>
    <row r="313" spans="30:41">
      <c r="AD313" s="78"/>
      <c r="AE313" s="78"/>
      <c r="AF313" s="78"/>
      <c r="AG313" s="78"/>
      <c r="AH313" s="78"/>
      <c r="AI313" s="78"/>
      <c r="AJ313" s="78"/>
      <c r="AK313" s="78"/>
      <c r="AL313" s="78"/>
      <c r="AM313" s="78"/>
      <c r="AN313" s="78"/>
      <c r="AO313" s="78"/>
    </row>
    <row r="314" spans="30:41">
      <c r="AD314" s="78"/>
      <c r="AE314" s="78"/>
      <c r="AF314" s="78"/>
      <c r="AG314" s="78"/>
      <c r="AH314" s="78"/>
      <c r="AI314" s="78"/>
      <c r="AJ314" s="78"/>
      <c r="AK314" s="78"/>
      <c r="AL314" s="78"/>
      <c r="AM314" s="78"/>
      <c r="AN314" s="78"/>
      <c r="AO314" s="78"/>
    </row>
    <row r="315" spans="30:41">
      <c r="AD315" s="78"/>
      <c r="AE315" s="78"/>
      <c r="AF315" s="78"/>
      <c r="AG315" s="78"/>
      <c r="AH315" s="78"/>
      <c r="AI315" s="78"/>
      <c r="AJ315" s="78"/>
      <c r="AK315" s="78"/>
      <c r="AL315" s="78"/>
      <c r="AM315" s="78"/>
      <c r="AN315" s="78"/>
      <c r="AO315" s="78"/>
    </row>
    <row r="316" spans="30:41">
      <c r="AD316" s="78"/>
      <c r="AE316" s="78"/>
      <c r="AF316" s="78"/>
      <c r="AG316" s="78"/>
      <c r="AH316" s="78"/>
      <c r="AI316" s="78"/>
      <c r="AJ316" s="78"/>
      <c r="AK316" s="78"/>
      <c r="AL316" s="78"/>
      <c r="AM316" s="78"/>
      <c r="AN316" s="78"/>
      <c r="AO316" s="78"/>
    </row>
    <row r="317" spans="30:41">
      <c r="AD317" s="78"/>
      <c r="AE317" s="78"/>
      <c r="AF317" s="78"/>
      <c r="AG317" s="78"/>
      <c r="AH317" s="78"/>
      <c r="AI317" s="78"/>
      <c r="AJ317" s="78"/>
      <c r="AK317" s="78"/>
      <c r="AL317" s="78"/>
      <c r="AM317" s="78"/>
      <c r="AN317" s="78"/>
      <c r="AO317" s="78"/>
    </row>
    <row r="318" spans="30:41">
      <c r="AD318" s="78"/>
      <c r="AE318" s="78"/>
      <c r="AF318" s="78"/>
      <c r="AG318" s="78"/>
      <c r="AH318" s="78"/>
      <c r="AI318" s="78"/>
      <c r="AJ318" s="78"/>
      <c r="AK318" s="78"/>
      <c r="AL318" s="78"/>
      <c r="AM318" s="78"/>
      <c r="AN318" s="78"/>
      <c r="AO318" s="78"/>
    </row>
    <row r="319" spans="30:41">
      <c r="AD319" s="78"/>
      <c r="AE319" s="78"/>
      <c r="AF319" s="78"/>
      <c r="AG319" s="78"/>
      <c r="AH319" s="78"/>
      <c r="AI319" s="78"/>
      <c r="AJ319" s="78"/>
      <c r="AK319" s="78"/>
      <c r="AL319" s="78"/>
      <c r="AM319" s="78"/>
      <c r="AN319" s="78"/>
      <c r="AO319" s="78"/>
    </row>
    <row r="320" spans="30:41">
      <c r="AD320" s="78"/>
      <c r="AE320" s="78"/>
      <c r="AF320" s="78"/>
      <c r="AG320" s="78"/>
      <c r="AH320" s="78"/>
      <c r="AI320" s="78"/>
      <c r="AJ320" s="78"/>
      <c r="AK320" s="78"/>
      <c r="AL320" s="78"/>
      <c r="AM320" s="78"/>
      <c r="AN320" s="78"/>
      <c r="AO320" s="78"/>
    </row>
    <row r="321" spans="30:41">
      <c r="AD321" s="78"/>
      <c r="AE321" s="78"/>
      <c r="AF321" s="78"/>
      <c r="AG321" s="78"/>
      <c r="AH321" s="78"/>
      <c r="AI321" s="78"/>
      <c r="AJ321" s="78"/>
      <c r="AK321" s="78"/>
      <c r="AL321" s="78"/>
      <c r="AM321" s="78"/>
      <c r="AN321" s="78"/>
      <c r="AO321" s="78"/>
    </row>
    <row r="322" spans="30:41">
      <c r="AD322" s="78"/>
      <c r="AE322" s="78"/>
      <c r="AF322" s="78"/>
      <c r="AG322" s="78"/>
      <c r="AH322" s="78"/>
      <c r="AI322" s="78"/>
      <c r="AJ322" s="78"/>
      <c r="AK322" s="78"/>
      <c r="AL322" s="78"/>
      <c r="AM322" s="78"/>
      <c r="AN322" s="78"/>
      <c r="AO322" s="78"/>
    </row>
    <row r="323" spans="30:41">
      <c r="AD323" s="78"/>
      <c r="AE323" s="78"/>
      <c r="AF323" s="78"/>
      <c r="AG323" s="78"/>
      <c r="AH323" s="78"/>
      <c r="AI323" s="78"/>
      <c r="AJ323" s="78"/>
      <c r="AK323" s="78"/>
      <c r="AL323" s="78"/>
      <c r="AM323" s="78"/>
      <c r="AN323" s="78"/>
      <c r="AO323" s="78"/>
    </row>
    <row r="324" spans="30:41">
      <c r="AD324" s="78"/>
      <c r="AE324" s="78"/>
      <c r="AF324" s="78"/>
      <c r="AG324" s="78"/>
      <c r="AH324" s="78"/>
      <c r="AI324" s="78"/>
      <c r="AJ324" s="78"/>
      <c r="AK324" s="78"/>
      <c r="AL324" s="78"/>
      <c r="AM324" s="78"/>
      <c r="AN324" s="78"/>
      <c r="AO324" s="78"/>
    </row>
    <row r="325" spans="30:41">
      <c r="AD325" s="78"/>
      <c r="AE325" s="78"/>
      <c r="AF325" s="78"/>
      <c r="AG325" s="78"/>
      <c r="AH325" s="78"/>
      <c r="AI325" s="78"/>
      <c r="AJ325" s="78"/>
      <c r="AK325" s="78"/>
      <c r="AL325" s="78"/>
      <c r="AM325" s="78"/>
      <c r="AN325" s="78"/>
      <c r="AO325" s="78"/>
    </row>
    <row r="326" spans="30:41">
      <c r="AD326" s="78"/>
      <c r="AE326" s="78"/>
      <c r="AF326" s="78"/>
      <c r="AG326" s="78"/>
      <c r="AH326" s="78"/>
      <c r="AI326" s="78"/>
      <c r="AJ326" s="78"/>
      <c r="AK326" s="78"/>
      <c r="AL326" s="78"/>
      <c r="AM326" s="78"/>
      <c r="AN326" s="78"/>
      <c r="AO326" s="78"/>
    </row>
    <row r="327" spans="30:41">
      <c r="AD327" s="78"/>
      <c r="AE327" s="78"/>
      <c r="AF327" s="78"/>
      <c r="AG327" s="78"/>
      <c r="AH327" s="78"/>
      <c r="AI327" s="78"/>
      <c r="AJ327" s="78"/>
      <c r="AK327" s="78"/>
      <c r="AL327" s="78"/>
      <c r="AM327" s="78"/>
      <c r="AN327" s="78"/>
      <c r="AO327" s="78"/>
    </row>
    <row r="328" spans="30:41">
      <c r="AD328" s="78"/>
      <c r="AE328" s="78"/>
      <c r="AF328" s="78"/>
      <c r="AG328" s="78"/>
      <c r="AH328" s="78"/>
      <c r="AI328" s="78"/>
      <c r="AJ328" s="78"/>
      <c r="AK328" s="78"/>
      <c r="AL328" s="78"/>
      <c r="AM328" s="78"/>
      <c r="AN328" s="78"/>
      <c r="AO328" s="78"/>
    </row>
    <row r="329" spans="30:41">
      <c r="AD329" s="78"/>
      <c r="AE329" s="78"/>
      <c r="AF329" s="78"/>
      <c r="AG329" s="78"/>
      <c r="AH329" s="78"/>
      <c r="AI329" s="78"/>
      <c r="AJ329" s="78"/>
      <c r="AK329" s="78"/>
      <c r="AL329" s="78"/>
      <c r="AM329" s="78"/>
      <c r="AN329" s="78"/>
      <c r="AO329" s="78"/>
    </row>
    <row r="330" spans="30:41">
      <c r="AD330" s="78"/>
      <c r="AE330" s="78"/>
      <c r="AF330" s="78"/>
      <c r="AG330" s="78"/>
      <c r="AH330" s="78"/>
      <c r="AI330" s="78"/>
      <c r="AJ330" s="78"/>
      <c r="AK330" s="78"/>
      <c r="AL330" s="78"/>
      <c r="AM330" s="78"/>
      <c r="AN330" s="78"/>
      <c r="AO330" s="78"/>
    </row>
    <row r="331" spans="30:41">
      <c r="AD331" s="78"/>
      <c r="AE331" s="78"/>
      <c r="AF331" s="78"/>
      <c r="AG331" s="78"/>
      <c r="AH331" s="78"/>
      <c r="AI331" s="78"/>
      <c r="AJ331" s="78"/>
      <c r="AK331" s="78"/>
      <c r="AL331" s="78"/>
      <c r="AM331" s="78"/>
      <c r="AN331" s="78"/>
      <c r="AO331" s="78"/>
    </row>
    <row r="332" spans="30:41">
      <c r="AD332" s="78"/>
      <c r="AE332" s="78"/>
      <c r="AF332" s="78"/>
      <c r="AG332" s="78"/>
      <c r="AH332" s="78"/>
      <c r="AI332" s="78"/>
      <c r="AJ332" s="78"/>
      <c r="AK332" s="78"/>
      <c r="AL332" s="78"/>
      <c r="AM332" s="78"/>
      <c r="AN332" s="78"/>
      <c r="AO332" s="78"/>
    </row>
    <row r="333" spans="30:41">
      <c r="AD333" s="78"/>
      <c r="AE333" s="78"/>
      <c r="AF333" s="78"/>
      <c r="AG333" s="78"/>
      <c r="AH333" s="78"/>
      <c r="AI333" s="78"/>
      <c r="AJ333" s="78"/>
      <c r="AK333" s="78"/>
      <c r="AL333" s="78"/>
      <c r="AM333" s="78"/>
      <c r="AN333" s="78"/>
      <c r="AO333" s="78"/>
    </row>
    <row r="334" spans="30:41">
      <c r="AD334" s="78"/>
      <c r="AE334" s="78"/>
      <c r="AF334" s="78"/>
      <c r="AG334" s="78"/>
      <c r="AH334" s="78"/>
      <c r="AI334" s="78"/>
      <c r="AJ334" s="78"/>
      <c r="AK334" s="78"/>
      <c r="AL334" s="78"/>
      <c r="AM334" s="78"/>
      <c r="AN334" s="78"/>
      <c r="AO334" s="78"/>
    </row>
    <row r="335" spans="30:41">
      <c r="AD335" s="78"/>
      <c r="AE335" s="78"/>
      <c r="AF335" s="78"/>
      <c r="AG335" s="78"/>
      <c r="AH335" s="78"/>
      <c r="AI335" s="78"/>
      <c r="AJ335" s="78"/>
      <c r="AK335" s="78"/>
      <c r="AL335" s="78"/>
      <c r="AM335" s="78"/>
      <c r="AN335" s="78"/>
      <c r="AO335" s="78"/>
    </row>
    <row r="336" spans="30:41">
      <c r="AD336" s="78"/>
      <c r="AE336" s="78"/>
      <c r="AF336" s="78"/>
      <c r="AG336" s="78"/>
      <c r="AH336" s="78"/>
      <c r="AI336" s="78"/>
      <c r="AJ336" s="78"/>
      <c r="AK336" s="78"/>
      <c r="AL336" s="78"/>
      <c r="AM336" s="78"/>
      <c r="AN336" s="78"/>
      <c r="AO336" s="78"/>
    </row>
    <row r="337" spans="30:41">
      <c r="AD337" s="78"/>
      <c r="AE337" s="78"/>
      <c r="AF337" s="78"/>
      <c r="AG337" s="78"/>
      <c r="AH337" s="78"/>
      <c r="AI337" s="78"/>
      <c r="AJ337" s="78"/>
      <c r="AK337" s="78"/>
      <c r="AL337" s="78"/>
      <c r="AM337" s="78"/>
      <c r="AN337" s="78"/>
      <c r="AO337" s="78"/>
    </row>
    <row r="338" spans="30:41">
      <c r="AD338" s="78"/>
      <c r="AE338" s="78"/>
      <c r="AF338" s="78"/>
      <c r="AG338" s="78"/>
      <c r="AH338" s="78"/>
      <c r="AI338" s="78"/>
      <c r="AJ338" s="78"/>
      <c r="AK338" s="78"/>
      <c r="AL338" s="78"/>
      <c r="AM338" s="78"/>
      <c r="AN338" s="78"/>
      <c r="AO338" s="78"/>
    </row>
    <row r="339" spans="30:41">
      <c r="AD339" s="78"/>
      <c r="AE339" s="78"/>
      <c r="AF339" s="78"/>
      <c r="AG339" s="78"/>
      <c r="AH339" s="78"/>
      <c r="AI339" s="78"/>
      <c r="AJ339" s="78"/>
      <c r="AK339" s="78"/>
      <c r="AL339" s="78"/>
      <c r="AM339" s="78"/>
      <c r="AN339" s="78"/>
      <c r="AO339" s="78"/>
    </row>
    <row r="340" spans="30:41">
      <c r="AD340" s="78"/>
      <c r="AE340" s="78"/>
      <c r="AF340" s="78"/>
      <c r="AG340" s="78"/>
      <c r="AH340" s="78"/>
      <c r="AI340" s="78"/>
      <c r="AJ340" s="78"/>
      <c r="AK340" s="78"/>
      <c r="AL340" s="78"/>
      <c r="AM340" s="78"/>
      <c r="AN340" s="78"/>
      <c r="AO340" s="78"/>
    </row>
    <row r="341" spans="30:41">
      <c r="AD341" s="78"/>
      <c r="AE341" s="78"/>
      <c r="AF341" s="78"/>
      <c r="AG341" s="78"/>
      <c r="AH341" s="78"/>
      <c r="AI341" s="78"/>
      <c r="AJ341" s="78"/>
      <c r="AK341" s="78"/>
      <c r="AL341" s="78"/>
      <c r="AM341" s="78"/>
      <c r="AN341" s="78"/>
      <c r="AO341" s="78"/>
    </row>
    <row r="342" spans="30:41">
      <c r="AD342" s="78"/>
      <c r="AE342" s="78"/>
      <c r="AF342" s="78"/>
      <c r="AG342" s="78"/>
      <c r="AH342" s="78"/>
      <c r="AI342" s="78"/>
      <c r="AJ342" s="78"/>
      <c r="AK342" s="78"/>
      <c r="AL342" s="78"/>
      <c r="AM342" s="78"/>
      <c r="AN342" s="78"/>
      <c r="AO342" s="78"/>
    </row>
    <row r="343" spans="30:41">
      <c r="AD343" s="78"/>
      <c r="AE343" s="78"/>
      <c r="AF343" s="78"/>
      <c r="AG343" s="78"/>
      <c r="AH343" s="78"/>
      <c r="AI343" s="78"/>
      <c r="AJ343" s="78"/>
      <c r="AK343" s="78"/>
      <c r="AL343" s="78"/>
      <c r="AM343" s="78"/>
      <c r="AN343" s="78"/>
      <c r="AO343" s="78"/>
    </row>
    <row r="344" spans="30:41">
      <c r="AD344" s="78"/>
      <c r="AE344" s="78"/>
      <c r="AF344" s="78"/>
      <c r="AG344" s="78"/>
      <c r="AH344" s="78"/>
      <c r="AI344" s="78"/>
      <c r="AJ344" s="78"/>
      <c r="AK344" s="78"/>
      <c r="AL344" s="78"/>
      <c r="AM344" s="78"/>
      <c r="AN344" s="78"/>
      <c r="AO344" s="78"/>
    </row>
    <row r="345" spans="30:41">
      <c r="AD345" s="78"/>
      <c r="AE345" s="78"/>
      <c r="AF345" s="78"/>
      <c r="AG345" s="78"/>
      <c r="AH345" s="78"/>
      <c r="AI345" s="78"/>
      <c r="AJ345" s="78"/>
      <c r="AK345" s="78"/>
      <c r="AL345" s="78"/>
      <c r="AM345" s="78"/>
      <c r="AN345" s="78"/>
      <c r="AO345" s="78"/>
    </row>
    <row r="346" spans="30:41">
      <c r="AD346" s="78"/>
      <c r="AE346" s="78"/>
      <c r="AF346" s="78"/>
      <c r="AG346" s="78"/>
      <c r="AH346" s="78"/>
      <c r="AI346" s="78"/>
      <c r="AJ346" s="78"/>
      <c r="AK346" s="78"/>
      <c r="AL346" s="78"/>
      <c r="AM346" s="78"/>
      <c r="AN346" s="78"/>
      <c r="AO346" s="78"/>
    </row>
    <row r="347" spans="30:41">
      <c r="AD347" s="78"/>
      <c r="AE347" s="78"/>
      <c r="AF347" s="78"/>
      <c r="AG347" s="78"/>
      <c r="AH347" s="78"/>
      <c r="AI347" s="78"/>
      <c r="AJ347" s="78"/>
      <c r="AK347" s="78"/>
      <c r="AL347" s="78"/>
      <c r="AM347" s="78"/>
      <c r="AN347" s="78"/>
      <c r="AO347" s="78"/>
    </row>
    <row r="348" spans="30:41">
      <c r="AD348" s="78"/>
      <c r="AE348" s="78"/>
      <c r="AF348" s="78"/>
      <c r="AG348" s="78"/>
      <c r="AH348" s="78"/>
      <c r="AI348" s="78"/>
      <c r="AJ348" s="78"/>
      <c r="AK348" s="78"/>
      <c r="AL348" s="78"/>
      <c r="AM348" s="78"/>
      <c r="AN348" s="78"/>
      <c r="AO348" s="78"/>
    </row>
    <row r="349" spans="30:41">
      <c r="AD349" s="78"/>
      <c r="AE349" s="78"/>
      <c r="AF349" s="78"/>
      <c r="AG349" s="78"/>
      <c r="AH349" s="78"/>
      <c r="AI349" s="78"/>
      <c r="AJ349" s="78"/>
      <c r="AK349" s="78"/>
      <c r="AL349" s="78"/>
      <c r="AM349" s="78"/>
      <c r="AN349" s="78"/>
      <c r="AO349" s="78"/>
    </row>
    <row r="350" spans="30:41">
      <c r="AD350" s="78"/>
      <c r="AE350" s="78"/>
      <c r="AF350" s="78"/>
      <c r="AG350" s="78"/>
      <c r="AH350" s="78"/>
      <c r="AI350" s="78"/>
      <c r="AJ350" s="78"/>
      <c r="AK350" s="78"/>
      <c r="AL350" s="78"/>
      <c r="AM350" s="78"/>
      <c r="AN350" s="78"/>
      <c r="AO350" s="78"/>
    </row>
    <row r="351" spans="30:41">
      <c r="AD351" s="78"/>
      <c r="AE351" s="78"/>
      <c r="AF351" s="78"/>
      <c r="AG351" s="78"/>
      <c r="AH351" s="78"/>
      <c r="AI351" s="78"/>
      <c r="AJ351" s="78"/>
      <c r="AK351" s="78"/>
      <c r="AL351" s="78"/>
      <c r="AM351" s="78"/>
      <c r="AN351" s="78"/>
      <c r="AO351" s="78"/>
    </row>
    <row r="352" spans="30:41">
      <c r="AD352" s="78"/>
      <c r="AE352" s="78"/>
      <c r="AF352" s="78"/>
      <c r="AG352" s="78"/>
      <c r="AH352" s="78"/>
      <c r="AI352" s="78"/>
      <c r="AJ352" s="78"/>
      <c r="AK352" s="78"/>
      <c r="AL352" s="78"/>
      <c r="AM352" s="78"/>
      <c r="AN352" s="78"/>
      <c r="AO352" s="78"/>
    </row>
    <row r="353" spans="30:41">
      <c r="AD353" s="78"/>
      <c r="AE353" s="78"/>
      <c r="AF353" s="78"/>
      <c r="AG353" s="78"/>
      <c r="AH353" s="78"/>
      <c r="AI353" s="78"/>
      <c r="AJ353" s="78"/>
      <c r="AK353" s="78"/>
      <c r="AL353" s="78"/>
      <c r="AM353" s="78"/>
      <c r="AN353" s="78"/>
      <c r="AO353" s="78"/>
    </row>
    <row r="354" spans="30:41">
      <c r="AD354" s="78"/>
      <c r="AE354" s="78"/>
      <c r="AF354" s="78"/>
      <c r="AG354" s="78"/>
      <c r="AH354" s="78"/>
      <c r="AI354" s="78"/>
      <c r="AJ354" s="78"/>
      <c r="AK354" s="78"/>
      <c r="AL354" s="78"/>
      <c r="AM354" s="78"/>
      <c r="AN354" s="78"/>
      <c r="AO354" s="78"/>
    </row>
    <row r="355" spans="30:41">
      <c r="AD355" s="78"/>
      <c r="AE355" s="78"/>
      <c r="AF355" s="78"/>
      <c r="AG355" s="78"/>
      <c r="AH355" s="78"/>
      <c r="AI355" s="78"/>
      <c r="AJ355" s="78"/>
      <c r="AK355" s="78"/>
      <c r="AL355" s="78"/>
      <c r="AM355" s="78"/>
      <c r="AN355" s="78"/>
      <c r="AO355" s="78"/>
    </row>
    <row r="356" spans="30:41">
      <c r="AD356" s="78"/>
      <c r="AE356" s="78"/>
      <c r="AF356" s="78"/>
      <c r="AG356" s="78"/>
      <c r="AH356" s="78"/>
      <c r="AI356" s="78"/>
      <c r="AJ356" s="78"/>
      <c r="AK356" s="78"/>
      <c r="AL356" s="78"/>
      <c r="AM356" s="78"/>
      <c r="AN356" s="78"/>
      <c r="AO356" s="78"/>
    </row>
    <row r="357" spans="30:41">
      <c r="AD357" s="78"/>
      <c r="AE357" s="78"/>
      <c r="AF357" s="78"/>
      <c r="AG357" s="78"/>
      <c r="AH357" s="78"/>
      <c r="AI357" s="78"/>
      <c r="AJ357" s="78"/>
      <c r="AK357" s="78"/>
      <c r="AL357" s="78"/>
      <c r="AM357" s="78"/>
      <c r="AN357" s="78"/>
      <c r="AO357" s="78"/>
    </row>
    <row r="358" spans="30:41">
      <c r="AD358" s="78"/>
      <c r="AE358" s="78"/>
      <c r="AF358" s="78"/>
      <c r="AG358" s="78"/>
      <c r="AH358" s="78"/>
      <c r="AI358" s="78"/>
      <c r="AJ358" s="78"/>
      <c r="AK358" s="78"/>
      <c r="AL358" s="78"/>
      <c r="AM358" s="78"/>
      <c r="AN358" s="78"/>
      <c r="AO358" s="78"/>
    </row>
    <row r="359" spans="30:41">
      <c r="AD359" s="78"/>
      <c r="AE359" s="78"/>
      <c r="AF359" s="78"/>
      <c r="AG359" s="78"/>
      <c r="AH359" s="78"/>
      <c r="AI359" s="78"/>
      <c r="AJ359" s="78"/>
      <c r="AK359" s="78"/>
      <c r="AL359" s="78"/>
      <c r="AM359" s="78"/>
      <c r="AN359" s="78"/>
      <c r="AO359" s="78"/>
    </row>
    <row r="360" spans="30:41">
      <c r="AD360" s="78"/>
      <c r="AE360" s="78"/>
      <c r="AF360" s="78"/>
      <c r="AG360" s="78"/>
      <c r="AH360" s="78"/>
      <c r="AI360" s="78"/>
      <c r="AJ360" s="78"/>
      <c r="AK360" s="78"/>
      <c r="AL360" s="78"/>
      <c r="AM360" s="78"/>
      <c r="AN360" s="78"/>
      <c r="AO360" s="78"/>
    </row>
    <row r="361" spans="30:41">
      <c r="AD361" s="78"/>
      <c r="AE361" s="78"/>
      <c r="AF361" s="78"/>
      <c r="AG361" s="78"/>
      <c r="AH361" s="78"/>
      <c r="AI361" s="78"/>
      <c r="AJ361" s="78"/>
      <c r="AK361" s="78"/>
      <c r="AL361" s="78"/>
      <c r="AM361" s="78"/>
      <c r="AN361" s="78"/>
      <c r="AO361" s="78"/>
    </row>
    <row r="362" spans="30:41">
      <c r="AD362" s="78"/>
      <c r="AE362" s="78"/>
      <c r="AF362" s="78"/>
      <c r="AG362" s="78"/>
      <c r="AH362" s="78"/>
      <c r="AI362" s="78"/>
      <c r="AJ362" s="78"/>
      <c r="AK362" s="78"/>
      <c r="AL362" s="78"/>
      <c r="AM362" s="78"/>
      <c r="AN362" s="78"/>
      <c r="AO362" s="78"/>
    </row>
    <row r="363" spans="30:41">
      <c r="AD363" s="78"/>
      <c r="AE363" s="78"/>
      <c r="AF363" s="78"/>
      <c r="AG363" s="78"/>
      <c r="AH363" s="78"/>
      <c r="AI363" s="78"/>
      <c r="AJ363" s="78"/>
      <c r="AK363" s="78"/>
      <c r="AL363" s="78"/>
      <c r="AM363" s="78"/>
      <c r="AN363" s="78"/>
      <c r="AO363" s="78"/>
    </row>
    <row r="364" spans="30:41">
      <c r="AD364" s="78"/>
      <c r="AE364" s="78"/>
      <c r="AF364" s="78"/>
      <c r="AG364" s="78"/>
      <c r="AH364" s="78"/>
      <c r="AI364" s="78"/>
      <c r="AJ364" s="78"/>
      <c r="AK364" s="78"/>
      <c r="AL364" s="78"/>
      <c r="AM364" s="78"/>
      <c r="AN364" s="78"/>
      <c r="AO364" s="78"/>
    </row>
    <row r="365" spans="30:41">
      <c r="AD365" s="78"/>
      <c r="AE365" s="78"/>
      <c r="AF365" s="78"/>
      <c r="AG365" s="78"/>
      <c r="AH365" s="78"/>
      <c r="AI365" s="78"/>
      <c r="AJ365" s="78"/>
      <c r="AK365" s="78"/>
      <c r="AL365" s="78"/>
      <c r="AM365" s="78"/>
      <c r="AN365" s="78"/>
      <c r="AO365" s="78"/>
    </row>
    <row r="366" spans="30:41">
      <c r="AD366" s="78"/>
      <c r="AE366" s="78"/>
      <c r="AF366" s="78"/>
      <c r="AG366" s="78"/>
      <c r="AH366" s="78"/>
      <c r="AI366" s="78"/>
      <c r="AJ366" s="78"/>
      <c r="AK366" s="78"/>
      <c r="AL366" s="78"/>
      <c r="AM366" s="78"/>
      <c r="AN366" s="78"/>
      <c r="AO366" s="78"/>
    </row>
    <row r="367" spans="30:41">
      <c r="AD367" s="78"/>
      <c r="AE367" s="78"/>
      <c r="AF367" s="78"/>
      <c r="AG367" s="78"/>
      <c r="AH367" s="78"/>
      <c r="AI367" s="78"/>
      <c r="AJ367" s="78"/>
      <c r="AK367" s="78"/>
      <c r="AL367" s="78"/>
      <c r="AM367" s="78"/>
      <c r="AN367" s="78"/>
      <c r="AO367" s="78"/>
    </row>
    <row r="368" spans="30:41">
      <c r="AD368" s="78"/>
      <c r="AE368" s="78"/>
      <c r="AF368" s="78"/>
      <c r="AG368" s="78"/>
      <c r="AH368" s="78"/>
      <c r="AI368" s="78"/>
      <c r="AJ368" s="78"/>
      <c r="AK368" s="78"/>
      <c r="AL368" s="78"/>
      <c r="AM368" s="78"/>
      <c r="AN368" s="78"/>
      <c r="AO368" s="78"/>
    </row>
    <row r="369" spans="30:41">
      <c r="AD369" s="78"/>
      <c r="AE369" s="78"/>
      <c r="AF369" s="78"/>
      <c r="AG369" s="78"/>
      <c r="AH369" s="78"/>
      <c r="AI369" s="78"/>
      <c r="AJ369" s="78"/>
      <c r="AK369" s="78"/>
      <c r="AL369" s="78"/>
      <c r="AM369" s="78"/>
      <c r="AN369" s="78"/>
      <c r="AO369" s="78"/>
    </row>
    <row r="370" spans="30:41">
      <c r="AD370" s="78"/>
      <c r="AE370" s="78"/>
      <c r="AF370" s="78"/>
      <c r="AG370" s="78"/>
      <c r="AH370" s="78"/>
      <c r="AI370" s="78"/>
      <c r="AJ370" s="78"/>
      <c r="AK370" s="78"/>
      <c r="AL370" s="78"/>
      <c r="AM370" s="78"/>
      <c r="AN370" s="78"/>
      <c r="AO370" s="78"/>
    </row>
    <row r="371" spans="30:41">
      <c r="AD371" s="78"/>
      <c r="AE371" s="78"/>
      <c r="AF371" s="78"/>
      <c r="AG371" s="78"/>
      <c r="AH371" s="78"/>
      <c r="AI371" s="78"/>
      <c r="AJ371" s="78"/>
      <c r="AK371" s="78"/>
      <c r="AL371" s="78"/>
      <c r="AM371" s="78"/>
      <c r="AN371" s="78"/>
      <c r="AO371" s="78"/>
    </row>
    <row r="372" spans="30:41">
      <c r="AD372" s="78"/>
      <c r="AE372" s="78"/>
      <c r="AF372" s="78"/>
      <c r="AG372" s="78"/>
      <c r="AH372" s="78"/>
      <c r="AI372" s="78"/>
      <c r="AJ372" s="78"/>
      <c r="AK372" s="78"/>
      <c r="AL372" s="78"/>
      <c r="AM372" s="78"/>
      <c r="AN372" s="78"/>
      <c r="AO372" s="78"/>
    </row>
    <row r="373" spans="30:41">
      <c r="AD373" s="78"/>
      <c r="AE373" s="78"/>
      <c r="AF373" s="78"/>
      <c r="AG373" s="78"/>
      <c r="AH373" s="78"/>
      <c r="AI373" s="78"/>
      <c r="AJ373" s="78"/>
      <c r="AK373" s="78"/>
      <c r="AL373" s="78"/>
      <c r="AM373" s="78"/>
      <c r="AN373" s="78"/>
      <c r="AO373" s="78"/>
    </row>
    <row r="374" spans="30:41">
      <c r="AD374" s="78"/>
      <c r="AE374" s="78"/>
      <c r="AF374" s="78"/>
      <c r="AG374" s="78"/>
      <c r="AH374" s="78"/>
      <c r="AI374" s="78"/>
      <c r="AJ374" s="78"/>
      <c r="AK374" s="78"/>
      <c r="AL374" s="78"/>
      <c r="AM374" s="78"/>
      <c r="AN374" s="78"/>
      <c r="AO374" s="78"/>
    </row>
    <row r="375" spans="30:41">
      <c r="AD375" s="78"/>
      <c r="AE375" s="78"/>
      <c r="AF375" s="78"/>
      <c r="AG375" s="78"/>
      <c r="AH375" s="78"/>
      <c r="AI375" s="78"/>
      <c r="AJ375" s="78"/>
      <c r="AK375" s="78"/>
      <c r="AL375" s="78"/>
      <c r="AM375" s="78"/>
      <c r="AN375" s="78"/>
      <c r="AO375" s="78"/>
    </row>
    <row r="376" spans="30:41">
      <c r="AD376" s="78"/>
      <c r="AE376" s="78"/>
      <c r="AF376" s="78"/>
      <c r="AG376" s="78"/>
      <c r="AH376" s="78"/>
      <c r="AI376" s="78"/>
      <c r="AJ376" s="78"/>
      <c r="AK376" s="78"/>
      <c r="AL376" s="78"/>
      <c r="AM376" s="78"/>
      <c r="AN376" s="78"/>
      <c r="AO376" s="78"/>
    </row>
    <row r="377" spans="30:41">
      <c r="AD377" s="78"/>
      <c r="AE377" s="78"/>
      <c r="AF377" s="78"/>
      <c r="AG377" s="78"/>
      <c r="AH377" s="78"/>
      <c r="AI377" s="78"/>
      <c r="AJ377" s="78"/>
      <c r="AK377" s="78"/>
      <c r="AL377" s="78"/>
      <c r="AM377" s="78"/>
      <c r="AN377" s="78"/>
      <c r="AO377" s="78"/>
    </row>
    <row r="378" spans="30:41">
      <c r="AD378" s="78"/>
      <c r="AE378" s="78"/>
      <c r="AF378" s="78"/>
      <c r="AG378" s="78"/>
      <c r="AH378" s="78"/>
      <c r="AI378" s="78"/>
      <c r="AJ378" s="78"/>
      <c r="AK378" s="78"/>
      <c r="AL378" s="78"/>
      <c r="AM378" s="78"/>
      <c r="AN378" s="78"/>
      <c r="AO378" s="78"/>
    </row>
    <row r="379" spans="30:41">
      <c r="AD379" s="78"/>
      <c r="AE379" s="78"/>
      <c r="AF379" s="78"/>
      <c r="AG379" s="78"/>
      <c r="AH379" s="78"/>
      <c r="AI379" s="78"/>
      <c r="AJ379" s="78"/>
      <c r="AK379" s="78"/>
      <c r="AL379" s="78"/>
      <c r="AM379" s="78"/>
      <c r="AN379" s="78"/>
      <c r="AO379" s="78"/>
    </row>
    <row r="380" spans="30:41">
      <c r="AD380" s="78"/>
      <c r="AE380" s="78"/>
      <c r="AF380" s="78"/>
      <c r="AG380" s="78"/>
      <c r="AH380" s="78"/>
      <c r="AI380" s="78"/>
      <c r="AJ380" s="78"/>
      <c r="AK380" s="78"/>
      <c r="AL380" s="78"/>
      <c r="AM380" s="78"/>
      <c r="AN380" s="78"/>
      <c r="AO380" s="78"/>
    </row>
    <row r="381" spans="30:41">
      <c r="AD381" s="78"/>
      <c r="AE381" s="78"/>
      <c r="AF381" s="78"/>
      <c r="AG381" s="78"/>
      <c r="AH381" s="78"/>
      <c r="AI381" s="78"/>
      <c r="AJ381" s="78"/>
      <c r="AK381" s="78"/>
      <c r="AL381" s="78"/>
      <c r="AM381" s="78"/>
      <c r="AN381" s="78"/>
      <c r="AO381" s="78"/>
    </row>
    <row r="382" spans="30:41">
      <c r="AD382" s="78"/>
      <c r="AE382" s="78"/>
      <c r="AF382" s="78"/>
      <c r="AG382" s="78"/>
      <c r="AH382" s="78"/>
      <c r="AI382" s="78"/>
      <c r="AJ382" s="78"/>
      <c r="AK382" s="78"/>
      <c r="AL382" s="78"/>
      <c r="AM382" s="78"/>
      <c r="AN382" s="78"/>
      <c r="AO382" s="78"/>
    </row>
    <row r="383" spans="30:41">
      <c r="AD383" s="78"/>
      <c r="AE383" s="78"/>
      <c r="AF383" s="78"/>
      <c r="AG383" s="78"/>
      <c r="AH383" s="78"/>
      <c r="AI383" s="78"/>
      <c r="AJ383" s="78"/>
      <c r="AK383" s="78"/>
      <c r="AL383" s="78"/>
      <c r="AM383" s="78"/>
      <c r="AN383" s="78"/>
      <c r="AO383" s="78"/>
    </row>
    <row r="384" spans="30:41">
      <c r="AD384" s="78"/>
      <c r="AE384" s="78"/>
      <c r="AF384" s="78"/>
      <c r="AG384" s="78"/>
      <c r="AH384" s="78"/>
      <c r="AI384" s="78"/>
      <c r="AJ384" s="78"/>
      <c r="AK384" s="78"/>
      <c r="AL384" s="78"/>
      <c r="AM384" s="78"/>
      <c r="AN384" s="78"/>
      <c r="AO384" s="78"/>
    </row>
    <row r="385" spans="30:41">
      <c r="AD385" s="78"/>
      <c r="AE385" s="78"/>
      <c r="AF385" s="78"/>
      <c r="AG385" s="78"/>
      <c r="AH385" s="78"/>
      <c r="AI385" s="78"/>
      <c r="AJ385" s="78"/>
      <c r="AK385" s="78"/>
      <c r="AL385" s="78"/>
      <c r="AM385" s="78"/>
      <c r="AN385" s="78"/>
      <c r="AO385" s="78"/>
    </row>
    <row r="386" spans="30:41">
      <c r="AD386" s="78"/>
      <c r="AE386" s="78"/>
      <c r="AF386" s="78"/>
      <c r="AG386" s="78"/>
      <c r="AH386" s="78"/>
      <c r="AI386" s="78"/>
      <c r="AJ386" s="78"/>
      <c r="AK386" s="78"/>
      <c r="AL386" s="78"/>
      <c r="AM386" s="78"/>
      <c r="AN386" s="78"/>
      <c r="AO386" s="78"/>
    </row>
    <row r="387" spans="30:41">
      <c r="AD387" s="78"/>
      <c r="AE387" s="78"/>
      <c r="AF387" s="78"/>
      <c r="AG387" s="78"/>
      <c r="AH387" s="78"/>
      <c r="AI387" s="78"/>
      <c r="AJ387" s="78"/>
      <c r="AK387" s="78"/>
      <c r="AL387" s="78"/>
      <c r="AM387" s="78"/>
      <c r="AN387" s="78"/>
      <c r="AO387" s="78"/>
    </row>
    <row r="388" spans="30:41">
      <c r="AD388" s="78"/>
      <c r="AE388" s="78"/>
      <c r="AF388" s="78"/>
      <c r="AG388" s="78"/>
      <c r="AH388" s="78"/>
      <c r="AI388" s="78"/>
      <c r="AJ388" s="78"/>
      <c r="AK388" s="78"/>
      <c r="AL388" s="78"/>
      <c r="AM388" s="78"/>
      <c r="AN388" s="78"/>
      <c r="AO388" s="78"/>
    </row>
    <row r="389" spans="30:41"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</row>
    <row r="390" spans="30:41">
      <c r="AD390" s="78"/>
      <c r="AE390" s="78"/>
      <c r="AF390" s="78"/>
      <c r="AG390" s="78"/>
      <c r="AH390" s="78"/>
      <c r="AI390" s="78"/>
      <c r="AJ390" s="78"/>
      <c r="AK390" s="78"/>
      <c r="AL390" s="78"/>
      <c r="AM390" s="78"/>
      <c r="AN390" s="78"/>
      <c r="AO390" s="78"/>
    </row>
    <row r="391" spans="30:41"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</row>
    <row r="392" spans="30:41"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</row>
    <row r="393" spans="30:41"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</row>
    <row r="394" spans="30:41"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</row>
    <row r="395" spans="30:41"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</row>
    <row r="396" spans="30:41"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</row>
    <row r="397" spans="30:41"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</row>
    <row r="398" spans="30:41"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</row>
    <row r="399" spans="30:41"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</row>
    <row r="400" spans="30:41"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</row>
    <row r="401" spans="30:41"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</row>
    <row r="402" spans="30:41">
      <c r="AD402" s="78"/>
      <c r="AE402" s="78"/>
      <c r="AF402" s="78"/>
      <c r="AG402" s="78"/>
      <c r="AH402" s="78"/>
      <c r="AI402" s="78"/>
      <c r="AJ402" s="78"/>
      <c r="AK402" s="78"/>
      <c r="AL402" s="78"/>
      <c r="AM402" s="78"/>
      <c r="AN402" s="78"/>
      <c r="AO402" s="78"/>
    </row>
    <row r="403" spans="30:41">
      <c r="AD403" s="78"/>
      <c r="AE403" s="78"/>
      <c r="AF403" s="78"/>
      <c r="AG403" s="78"/>
      <c r="AH403" s="78"/>
      <c r="AI403" s="78"/>
      <c r="AJ403" s="78"/>
      <c r="AK403" s="78"/>
      <c r="AL403" s="78"/>
      <c r="AM403" s="78"/>
      <c r="AN403" s="78"/>
      <c r="AO403" s="78"/>
    </row>
    <row r="404" spans="30:41">
      <c r="AD404" s="78"/>
      <c r="AE404" s="78"/>
      <c r="AF404" s="78"/>
      <c r="AG404" s="78"/>
      <c r="AH404" s="78"/>
      <c r="AI404" s="78"/>
      <c r="AJ404" s="78"/>
      <c r="AK404" s="78"/>
      <c r="AL404" s="78"/>
      <c r="AM404" s="78"/>
      <c r="AN404" s="78"/>
      <c r="AO404" s="78"/>
    </row>
    <row r="405" spans="30:41">
      <c r="AD405" s="78"/>
      <c r="AE405" s="78"/>
      <c r="AF405" s="78"/>
      <c r="AG405" s="78"/>
      <c r="AH405" s="78"/>
      <c r="AI405" s="78"/>
      <c r="AJ405" s="78"/>
      <c r="AK405" s="78"/>
      <c r="AL405" s="78"/>
      <c r="AM405" s="78"/>
      <c r="AN405" s="78"/>
      <c r="AO405" s="78"/>
    </row>
    <row r="406" spans="30:41">
      <c r="AD406" s="78"/>
      <c r="AE406" s="78"/>
      <c r="AF406" s="78"/>
      <c r="AG406" s="78"/>
      <c r="AH406" s="78"/>
      <c r="AI406" s="78"/>
      <c r="AJ406" s="78"/>
      <c r="AK406" s="78"/>
      <c r="AL406" s="78"/>
      <c r="AM406" s="78"/>
      <c r="AN406" s="78"/>
      <c r="AO406" s="78"/>
    </row>
    <row r="407" spans="30:41">
      <c r="AD407" s="78"/>
      <c r="AE407" s="78"/>
      <c r="AF407" s="78"/>
      <c r="AG407" s="78"/>
      <c r="AH407" s="78"/>
      <c r="AI407" s="78"/>
      <c r="AJ407" s="78"/>
      <c r="AK407" s="78"/>
      <c r="AL407" s="78"/>
      <c r="AM407" s="78"/>
      <c r="AN407" s="78"/>
      <c r="AO407" s="78"/>
    </row>
    <row r="408" spans="30:41">
      <c r="AD408" s="78"/>
      <c r="AE408" s="78"/>
      <c r="AF408" s="78"/>
      <c r="AG408" s="78"/>
      <c r="AH408" s="78"/>
      <c r="AI408" s="78"/>
      <c r="AJ408" s="78"/>
      <c r="AK408" s="78"/>
      <c r="AL408" s="78"/>
      <c r="AM408" s="78"/>
      <c r="AN408" s="78"/>
      <c r="AO408" s="78"/>
    </row>
    <row r="409" spans="30:41">
      <c r="AD409" s="78"/>
      <c r="AE409" s="78"/>
      <c r="AF409" s="78"/>
      <c r="AG409" s="78"/>
      <c r="AH409" s="78"/>
      <c r="AI409" s="78"/>
      <c r="AJ409" s="78"/>
      <c r="AK409" s="78"/>
      <c r="AL409" s="78"/>
      <c r="AM409" s="78"/>
      <c r="AN409" s="78"/>
      <c r="AO409" s="78"/>
    </row>
    <row r="410" spans="30:41">
      <c r="AD410" s="78"/>
      <c r="AE410" s="78"/>
      <c r="AF410" s="78"/>
      <c r="AG410" s="78"/>
      <c r="AH410" s="78"/>
      <c r="AI410" s="78"/>
      <c r="AJ410" s="78"/>
      <c r="AK410" s="78"/>
      <c r="AL410" s="78"/>
      <c r="AM410" s="78"/>
      <c r="AN410" s="78"/>
      <c r="AO410" s="78"/>
    </row>
    <row r="411" spans="30:41">
      <c r="AD411" s="78"/>
      <c r="AE411" s="78"/>
      <c r="AF411" s="78"/>
      <c r="AG411" s="78"/>
      <c r="AH411" s="78"/>
      <c r="AI411" s="78"/>
      <c r="AJ411" s="78"/>
      <c r="AK411" s="78"/>
      <c r="AL411" s="78"/>
      <c r="AM411" s="78"/>
      <c r="AN411" s="78"/>
      <c r="AO411" s="78"/>
    </row>
    <row r="412" spans="30:41">
      <c r="AD412" s="78"/>
      <c r="AE412" s="78"/>
      <c r="AF412" s="78"/>
      <c r="AG412" s="78"/>
      <c r="AH412" s="78"/>
      <c r="AI412" s="78"/>
      <c r="AJ412" s="78"/>
      <c r="AK412" s="78"/>
      <c r="AL412" s="78"/>
      <c r="AM412" s="78"/>
      <c r="AN412" s="78"/>
      <c r="AO412" s="78"/>
    </row>
    <row r="413" spans="30:41">
      <c r="AD413" s="78"/>
      <c r="AE413" s="78"/>
      <c r="AF413" s="78"/>
      <c r="AG413" s="78"/>
      <c r="AH413" s="78"/>
      <c r="AI413" s="78"/>
      <c r="AJ413" s="78"/>
      <c r="AK413" s="78"/>
      <c r="AL413" s="78"/>
      <c r="AM413" s="78"/>
      <c r="AN413" s="78"/>
      <c r="AO413" s="78"/>
    </row>
    <row r="414" spans="30:41">
      <c r="AD414" s="78"/>
      <c r="AE414" s="78"/>
      <c r="AF414" s="78"/>
      <c r="AG414" s="78"/>
      <c r="AH414" s="78"/>
      <c r="AI414" s="78"/>
      <c r="AJ414" s="78"/>
      <c r="AK414" s="78"/>
      <c r="AL414" s="78"/>
      <c r="AM414" s="78"/>
      <c r="AN414" s="78"/>
      <c r="AO414" s="78"/>
    </row>
    <row r="415" spans="30:41">
      <c r="AD415" s="78"/>
      <c r="AE415" s="78"/>
      <c r="AF415" s="78"/>
      <c r="AG415" s="78"/>
      <c r="AH415" s="78"/>
      <c r="AI415" s="78"/>
      <c r="AJ415" s="78"/>
      <c r="AK415" s="78"/>
      <c r="AL415" s="78"/>
      <c r="AM415" s="78"/>
      <c r="AN415" s="78"/>
      <c r="AO415" s="78"/>
    </row>
    <row r="416" spans="30:41">
      <c r="AD416" s="78"/>
      <c r="AE416" s="78"/>
      <c r="AF416" s="78"/>
      <c r="AG416" s="78"/>
      <c r="AH416" s="78"/>
      <c r="AI416" s="78"/>
      <c r="AJ416" s="78"/>
      <c r="AK416" s="78"/>
      <c r="AL416" s="78"/>
      <c r="AM416" s="78"/>
      <c r="AN416" s="78"/>
      <c r="AO416" s="78"/>
    </row>
    <row r="417" spans="30:41">
      <c r="AD417" s="78"/>
      <c r="AE417" s="78"/>
      <c r="AF417" s="78"/>
      <c r="AG417" s="78"/>
      <c r="AH417" s="78"/>
      <c r="AI417" s="78"/>
      <c r="AJ417" s="78"/>
      <c r="AK417" s="78"/>
      <c r="AL417" s="78"/>
      <c r="AM417" s="78"/>
      <c r="AN417" s="78"/>
      <c r="AO417" s="78"/>
    </row>
    <row r="418" spans="30:41">
      <c r="AD418" s="78"/>
      <c r="AE418" s="78"/>
      <c r="AF418" s="78"/>
      <c r="AG418" s="78"/>
      <c r="AH418" s="78"/>
      <c r="AI418" s="78"/>
      <c r="AJ418" s="78"/>
      <c r="AK418" s="78"/>
      <c r="AL418" s="78"/>
      <c r="AM418" s="78"/>
      <c r="AN418" s="78"/>
      <c r="AO418" s="78"/>
    </row>
    <row r="419" spans="30:41">
      <c r="AD419" s="78"/>
      <c r="AE419" s="78"/>
      <c r="AF419" s="78"/>
      <c r="AG419" s="78"/>
      <c r="AH419" s="78"/>
      <c r="AI419" s="78"/>
      <c r="AJ419" s="78"/>
      <c r="AK419" s="78"/>
      <c r="AL419" s="78"/>
      <c r="AM419" s="78"/>
      <c r="AN419" s="78"/>
      <c r="AO419" s="78"/>
    </row>
    <row r="420" spans="30:41">
      <c r="AD420" s="78"/>
      <c r="AE420" s="78"/>
      <c r="AF420" s="78"/>
      <c r="AG420" s="78"/>
      <c r="AH420" s="78"/>
      <c r="AI420" s="78"/>
      <c r="AJ420" s="78"/>
      <c r="AK420" s="78"/>
      <c r="AL420" s="78"/>
      <c r="AM420" s="78"/>
      <c r="AN420" s="78"/>
      <c r="AO420" s="78"/>
    </row>
    <row r="421" spans="30:41">
      <c r="AD421" s="78"/>
      <c r="AE421" s="78"/>
      <c r="AF421" s="78"/>
      <c r="AG421" s="78"/>
      <c r="AH421" s="78"/>
      <c r="AI421" s="78"/>
      <c r="AJ421" s="78"/>
      <c r="AK421" s="78"/>
      <c r="AL421" s="78"/>
      <c r="AM421" s="78"/>
      <c r="AN421" s="78"/>
      <c r="AO421" s="78"/>
    </row>
    <row r="422" spans="30:41">
      <c r="AD422" s="78"/>
      <c r="AE422" s="78"/>
      <c r="AF422" s="78"/>
      <c r="AG422" s="78"/>
      <c r="AH422" s="78"/>
      <c r="AI422" s="78"/>
      <c r="AJ422" s="78"/>
      <c r="AK422" s="78"/>
      <c r="AL422" s="78"/>
      <c r="AM422" s="78"/>
      <c r="AN422" s="78"/>
      <c r="AO422" s="78"/>
    </row>
    <row r="423" spans="30:41">
      <c r="AD423" s="78"/>
      <c r="AE423" s="78"/>
      <c r="AF423" s="78"/>
      <c r="AG423" s="78"/>
      <c r="AH423" s="78"/>
      <c r="AI423" s="78"/>
      <c r="AJ423" s="78"/>
      <c r="AK423" s="78"/>
      <c r="AL423" s="78"/>
      <c r="AM423" s="78"/>
      <c r="AN423" s="78"/>
      <c r="AO423" s="78"/>
    </row>
    <row r="424" spans="30:41">
      <c r="AD424" s="78"/>
      <c r="AE424" s="78"/>
      <c r="AF424" s="78"/>
      <c r="AG424" s="78"/>
      <c r="AH424" s="78"/>
      <c r="AI424" s="78"/>
      <c r="AJ424" s="78"/>
      <c r="AK424" s="78"/>
      <c r="AL424" s="78"/>
      <c r="AM424" s="78"/>
      <c r="AN424" s="78"/>
      <c r="AO424" s="78"/>
    </row>
    <row r="425" spans="30:41">
      <c r="AD425" s="78"/>
      <c r="AE425" s="78"/>
      <c r="AF425" s="78"/>
      <c r="AG425" s="78"/>
      <c r="AH425" s="78"/>
      <c r="AI425" s="78"/>
      <c r="AJ425" s="78"/>
      <c r="AK425" s="78"/>
      <c r="AL425" s="78"/>
      <c r="AM425" s="78"/>
      <c r="AN425" s="78"/>
      <c r="AO425" s="78"/>
    </row>
    <row r="426" spans="30:41">
      <c r="AD426" s="78"/>
      <c r="AE426" s="78"/>
      <c r="AF426" s="78"/>
      <c r="AG426" s="78"/>
      <c r="AH426" s="78"/>
      <c r="AI426" s="78"/>
      <c r="AJ426" s="78"/>
      <c r="AK426" s="78"/>
      <c r="AL426" s="78"/>
      <c r="AM426" s="78"/>
      <c r="AN426" s="78"/>
      <c r="AO426" s="78"/>
    </row>
    <row r="427" spans="30:41">
      <c r="AD427" s="78"/>
      <c r="AE427" s="78"/>
      <c r="AF427" s="78"/>
      <c r="AG427" s="78"/>
      <c r="AH427" s="78"/>
      <c r="AI427" s="78"/>
      <c r="AJ427" s="78"/>
      <c r="AK427" s="78"/>
      <c r="AL427" s="78"/>
      <c r="AM427" s="78"/>
      <c r="AN427" s="78"/>
      <c r="AO427" s="78"/>
    </row>
    <row r="428" spans="30:41">
      <c r="AD428" s="78"/>
      <c r="AE428" s="78"/>
      <c r="AF428" s="78"/>
      <c r="AG428" s="78"/>
      <c r="AH428" s="78"/>
      <c r="AI428" s="78"/>
      <c r="AJ428" s="78"/>
      <c r="AK428" s="78"/>
      <c r="AL428" s="78"/>
      <c r="AM428" s="78"/>
      <c r="AN428" s="78"/>
      <c r="AO428" s="78"/>
    </row>
    <row r="429" spans="30:41">
      <c r="AD429" s="78"/>
      <c r="AE429" s="78"/>
      <c r="AF429" s="78"/>
      <c r="AG429" s="78"/>
      <c r="AH429" s="78"/>
      <c r="AI429" s="78"/>
      <c r="AJ429" s="78"/>
      <c r="AK429" s="78"/>
      <c r="AL429" s="78"/>
      <c r="AM429" s="78"/>
      <c r="AN429" s="78"/>
      <c r="AO429" s="78"/>
    </row>
    <row r="430" spans="30:41">
      <c r="AD430" s="78"/>
      <c r="AE430" s="78"/>
      <c r="AF430" s="78"/>
      <c r="AG430" s="78"/>
      <c r="AH430" s="78"/>
      <c r="AI430" s="78"/>
      <c r="AJ430" s="78"/>
      <c r="AK430" s="78"/>
      <c r="AL430" s="78"/>
      <c r="AM430" s="78"/>
      <c r="AN430" s="78"/>
      <c r="AO430" s="78"/>
    </row>
    <row r="431" spans="30:41">
      <c r="AD431" s="78"/>
      <c r="AE431" s="78"/>
      <c r="AF431" s="78"/>
      <c r="AG431" s="78"/>
      <c r="AH431" s="78"/>
      <c r="AI431" s="78"/>
      <c r="AJ431" s="78"/>
      <c r="AK431" s="78"/>
      <c r="AL431" s="78"/>
      <c r="AM431" s="78"/>
      <c r="AN431" s="78"/>
      <c r="AO431" s="78"/>
    </row>
    <row r="432" spans="30:41">
      <c r="AD432" s="78"/>
      <c r="AE432" s="78"/>
      <c r="AF432" s="78"/>
      <c r="AG432" s="78"/>
      <c r="AH432" s="78"/>
      <c r="AI432" s="78"/>
      <c r="AJ432" s="78"/>
      <c r="AK432" s="78"/>
      <c r="AL432" s="78"/>
      <c r="AM432" s="78"/>
      <c r="AN432" s="78"/>
      <c r="AO432" s="78"/>
    </row>
    <row r="433" spans="30:41">
      <c r="AD433" s="78"/>
      <c r="AE433" s="78"/>
      <c r="AF433" s="78"/>
      <c r="AG433" s="78"/>
      <c r="AH433" s="78"/>
      <c r="AI433" s="78"/>
      <c r="AJ433" s="78"/>
      <c r="AK433" s="78"/>
      <c r="AL433" s="78"/>
      <c r="AM433" s="78"/>
      <c r="AN433" s="78"/>
      <c r="AO433" s="78"/>
    </row>
    <row r="434" spans="30:41">
      <c r="AD434" s="78"/>
      <c r="AE434" s="78"/>
      <c r="AF434" s="78"/>
      <c r="AG434" s="78"/>
      <c r="AH434" s="78"/>
      <c r="AI434" s="78"/>
      <c r="AJ434" s="78"/>
      <c r="AK434" s="78"/>
      <c r="AL434" s="78"/>
      <c r="AM434" s="78"/>
      <c r="AN434" s="78"/>
      <c r="AO434" s="78"/>
    </row>
    <row r="435" spans="30:41">
      <c r="AD435" s="78"/>
      <c r="AE435" s="78"/>
      <c r="AF435" s="78"/>
      <c r="AG435" s="78"/>
      <c r="AH435" s="78"/>
      <c r="AI435" s="78"/>
      <c r="AJ435" s="78"/>
      <c r="AK435" s="78"/>
      <c r="AL435" s="78"/>
      <c r="AM435" s="78"/>
      <c r="AN435" s="78"/>
      <c r="AO435" s="78"/>
    </row>
    <row r="436" spans="30:41">
      <c r="AD436" s="78"/>
      <c r="AE436" s="78"/>
      <c r="AF436" s="78"/>
      <c r="AG436" s="78"/>
      <c r="AH436" s="78"/>
      <c r="AI436" s="78"/>
      <c r="AJ436" s="78"/>
      <c r="AK436" s="78"/>
      <c r="AL436" s="78"/>
      <c r="AM436" s="78"/>
      <c r="AN436" s="78"/>
      <c r="AO436" s="78"/>
    </row>
    <row r="437" spans="30:41">
      <c r="AD437" s="78"/>
      <c r="AE437" s="78"/>
      <c r="AF437" s="78"/>
      <c r="AG437" s="78"/>
      <c r="AH437" s="78"/>
      <c r="AI437" s="78"/>
      <c r="AJ437" s="78"/>
      <c r="AK437" s="78"/>
      <c r="AL437" s="78"/>
      <c r="AM437" s="78"/>
      <c r="AN437" s="78"/>
      <c r="AO437" s="78"/>
    </row>
    <row r="438" spans="30:41">
      <c r="AD438" s="78"/>
      <c r="AE438" s="78"/>
      <c r="AF438" s="78"/>
      <c r="AG438" s="78"/>
      <c r="AH438" s="78"/>
      <c r="AI438" s="78"/>
      <c r="AJ438" s="78"/>
      <c r="AK438" s="78"/>
      <c r="AL438" s="78"/>
      <c r="AM438" s="78"/>
      <c r="AN438" s="78"/>
      <c r="AO438" s="78"/>
    </row>
    <row r="439" spans="30:41">
      <c r="AD439" s="78"/>
      <c r="AE439" s="78"/>
      <c r="AF439" s="78"/>
      <c r="AG439" s="78"/>
      <c r="AH439" s="78"/>
      <c r="AI439" s="78"/>
      <c r="AJ439" s="78"/>
      <c r="AK439" s="78"/>
      <c r="AL439" s="78"/>
      <c r="AM439" s="78"/>
      <c r="AN439" s="78"/>
      <c r="AO439" s="78"/>
    </row>
    <row r="440" spans="30:41">
      <c r="AD440" s="78"/>
      <c r="AE440" s="78"/>
      <c r="AF440" s="78"/>
      <c r="AG440" s="78"/>
      <c r="AH440" s="78"/>
      <c r="AI440" s="78"/>
      <c r="AJ440" s="78"/>
      <c r="AK440" s="78"/>
      <c r="AL440" s="78"/>
      <c r="AM440" s="78"/>
      <c r="AN440" s="78"/>
      <c r="AO440" s="78"/>
    </row>
    <row r="441" spans="30:41">
      <c r="AD441" s="78"/>
      <c r="AE441" s="78"/>
      <c r="AF441" s="78"/>
      <c r="AG441" s="78"/>
      <c r="AH441" s="78"/>
      <c r="AI441" s="78"/>
      <c r="AJ441" s="78"/>
      <c r="AK441" s="78"/>
      <c r="AL441" s="78"/>
      <c r="AM441" s="78"/>
      <c r="AN441" s="78"/>
      <c r="AO441" s="78"/>
    </row>
    <row r="442" spans="30:41">
      <c r="AD442" s="78"/>
      <c r="AE442" s="78"/>
      <c r="AF442" s="78"/>
      <c r="AG442" s="78"/>
      <c r="AH442" s="78"/>
      <c r="AI442" s="78"/>
      <c r="AJ442" s="78"/>
      <c r="AK442" s="78"/>
      <c r="AL442" s="78"/>
      <c r="AM442" s="78"/>
      <c r="AN442" s="78"/>
      <c r="AO442" s="78"/>
    </row>
    <row r="443" spans="30:41">
      <c r="AD443" s="78"/>
      <c r="AE443" s="78"/>
      <c r="AF443" s="78"/>
      <c r="AG443" s="78"/>
      <c r="AH443" s="78"/>
      <c r="AI443" s="78"/>
      <c r="AJ443" s="78"/>
      <c r="AK443" s="78"/>
      <c r="AL443" s="78"/>
      <c r="AM443" s="78"/>
      <c r="AN443" s="78"/>
      <c r="AO443" s="78"/>
    </row>
    <row r="444" spans="30:41">
      <c r="AD444" s="78"/>
      <c r="AE444" s="78"/>
      <c r="AF444" s="78"/>
      <c r="AG444" s="78"/>
      <c r="AH444" s="78"/>
      <c r="AI444" s="78"/>
      <c r="AJ444" s="78"/>
      <c r="AK444" s="78"/>
      <c r="AL444" s="78"/>
      <c r="AM444" s="78"/>
      <c r="AN444" s="78"/>
      <c r="AO444" s="78"/>
    </row>
  </sheetData>
  <sheetProtection algorithmName="SHA-512" hashValue="B/aXHGZw6G0RngwEy8wnuFVpx2Ihoe3asSkyA0C6y8nsIvEPqrLr0SAoRnF9vvMjbZl+T7U/GgzGAtrA057jiw==" saltValue="QVnLHebxWEsw9xWL+wZI9w==" spinCount="100000" sheet="1" objects="1" scenarios="1" selectLockedCells="1"/>
  <customSheetViews>
    <customSheetView guid="{C5C8DA39-C784-9F41-A13A-E8B47EB72839}" scale="125">
      <selection activeCell="BW2" sqref="BW2"/>
      <pageMargins left="0.7" right="0.7" top="0.75" bottom="0.75" header="0.3" footer="0.3"/>
      <pageSetup paperSize="9" orientation="portrait" horizontalDpi="0" verticalDpi="0"/>
    </customSheetView>
  </customSheetViews>
  <mergeCells count="20">
    <mergeCell ref="N6:O6"/>
    <mergeCell ref="P6:Q6"/>
    <mergeCell ref="C14:F14"/>
    <mergeCell ref="C22:F22"/>
    <mergeCell ref="AQ7:AS7"/>
    <mergeCell ref="AQ8:AS8"/>
    <mergeCell ref="AQ9:AS9"/>
    <mergeCell ref="AQ10:AS10"/>
    <mergeCell ref="S19:S20"/>
    <mergeCell ref="L2:M2"/>
    <mergeCell ref="C58:D58"/>
    <mergeCell ref="C26:D26"/>
    <mergeCell ref="D6:G6"/>
    <mergeCell ref="E58:G58"/>
    <mergeCell ref="G21:H21"/>
    <mergeCell ref="G20:H20"/>
    <mergeCell ref="G12:H12"/>
    <mergeCell ref="G13:H13"/>
    <mergeCell ref="A56:M56"/>
    <mergeCell ref="D7:G7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43</vt:i4>
      </vt:variant>
    </vt:vector>
  </HeadingPairs>
  <TitlesOfParts>
    <vt:vector size="44" baseType="lpstr">
      <vt:lpstr>Navigation</vt:lpstr>
      <vt:lpstr>_A1</vt:lpstr>
      <vt:lpstr>_A2</vt:lpstr>
      <vt:lpstr>_A3</vt:lpstr>
      <vt:lpstr>_A4</vt:lpstr>
      <vt:lpstr>_B1</vt:lpstr>
      <vt:lpstr>_B2</vt:lpstr>
      <vt:lpstr>_B3</vt:lpstr>
      <vt:lpstr>_B4</vt:lpstr>
      <vt:lpstr>_c</vt:lpstr>
      <vt:lpstr>_d</vt:lpstr>
      <vt:lpstr>_oz1</vt:lpstr>
      <vt:lpstr>_oz2</vt:lpstr>
      <vt:lpstr>_T1</vt:lpstr>
      <vt:lpstr>_T2</vt:lpstr>
      <vt:lpstr>aza</vt:lpstr>
      <vt:lpstr>Breite</vt:lpstr>
      <vt:lpstr>Breite°</vt:lpstr>
      <vt:lpstr>dat</vt:lpstr>
      <vt:lpstr>dat_</vt:lpstr>
      <vt:lpstr>deka</vt:lpstr>
      <vt:lpstr>dekb</vt:lpstr>
      <vt:lpstr>dira</vt:lpstr>
      <vt:lpstr>dirb</vt:lpstr>
      <vt:lpstr>dt</vt:lpstr>
      <vt:lpstr>EW</vt:lpstr>
      <vt:lpstr>Grta</vt:lpstr>
      <vt:lpstr>GRTA°</vt:lpstr>
      <vt:lpstr>grtb</vt:lpstr>
      <vt:lpstr>hma</vt:lpstr>
      <vt:lpstr>hma°</vt:lpstr>
      <vt:lpstr>hmav</vt:lpstr>
      <vt:lpstr>hmb</vt:lpstr>
      <vt:lpstr>hmb°</vt:lpstr>
      <vt:lpstr>Länge</vt:lpstr>
      <vt:lpstr>Länge°</vt:lpstr>
      <vt:lpstr>LHA</vt:lpstr>
      <vt:lpstr>ot</vt:lpstr>
      <vt:lpstr>ot_</vt:lpstr>
      <vt:lpstr>ref</vt:lpstr>
      <vt:lpstr>TG</vt:lpstr>
      <vt:lpstr>U</vt:lpstr>
      <vt:lpstr>vb</vt:lpstr>
      <vt:lpstr>vl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2025-05-28T16:05:50Z</dcterms:modified>
</cp:coreProperties>
</file>