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ml.chartshapes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ml.chartshapes+xml"/>
  <Override PartName="/xl/drawings/drawing6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7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codeName="DieseArbeitsmappe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E32BDCA4-57D8-E44B-9798-49088E57E3BF}" xr6:coauthVersionLast="36" xr6:coauthVersionMax="36" xr10:uidLastSave="{00000000-0000-0000-0000-000000000000}"/>
  <bookViews>
    <workbookView xWindow="960" yWindow="10620" windowWidth="28840" windowHeight="21100" tabRatio="500" xr2:uid="{00000000-000D-0000-FFFF-FFFF00000000}"/>
  </bookViews>
  <sheets>
    <sheet name="Navigation" sheetId="7" r:id="rId1"/>
    <sheet name="Standortgrafik" sheetId="2" r:id="rId2"/>
    <sheet name="globale Grafik" sheetId="4" r:id="rId3"/>
  </sheets>
  <definedNames>
    <definedName name="_A1">Navigation!$L$18</definedName>
    <definedName name="_A2">Navigation!$L$19</definedName>
    <definedName name="_A3">Navigation!$L$20</definedName>
    <definedName name="_A4">Navigation!$L$21</definedName>
    <definedName name="_B1">Navigation!$L$23</definedName>
    <definedName name="_B2">Navigation!$L$24</definedName>
    <definedName name="_B3">Navigation!$L$25</definedName>
    <definedName name="_B4">Navigation!$L$26</definedName>
    <definedName name="_dek1">Navigation!$AC$8</definedName>
    <definedName name="_l">Navigation!$W$16</definedName>
    <definedName name="_ls">Navigation!$W$24</definedName>
    <definedName name="_p1">Navigation!$AD$10</definedName>
    <definedName name="_p2">Navigation!$AD$11</definedName>
    <definedName name="_s1">Navigation!$AD$12</definedName>
    <definedName name="_s1v">Navigation!#REF!</definedName>
    <definedName name="_s2">Navigation!$AD$13</definedName>
    <definedName name="_T1">Navigation!$O$18</definedName>
    <definedName name="_T2">Navigation!$P$18</definedName>
    <definedName name="add">'globale Grafik'!$AE$16</definedName>
    <definedName name="Az">Navigation!$W$18</definedName>
    <definedName name="Az_°">Navigation!$V$29</definedName>
    <definedName name="Az°">Navigation!$V$18</definedName>
    <definedName name="B">Standortgrafik!$M$12</definedName>
    <definedName name="B_">Standortgrafik!$M$13</definedName>
    <definedName name="BB">Navigation!$P$37</definedName>
    <definedName name="cmg">Navigation!$H$17</definedName>
    <definedName name="d">Navigation!$O$29</definedName>
    <definedName name="d_">Navigation!$P$29</definedName>
    <definedName name="d°">Navigation!$O$31</definedName>
    <definedName name="d°_">Navigation!$P$31</definedName>
    <definedName name="dat">Navigation!$G$12</definedName>
    <definedName name="dat_">Navigation!$G$20</definedName>
    <definedName name="deka">Navigation!$X$29</definedName>
    <definedName name="dmg">Navigation!$C$17</definedName>
    <definedName name="F">Navigation!$W$10</definedName>
    <definedName name="G">Navigation!$W$13</definedName>
    <definedName name="grt">Navigation!$O$28</definedName>
    <definedName name="grt_">Navigation!$P$28</definedName>
    <definedName name="Grt°">Navigation!$O$30</definedName>
    <definedName name="Grt°_">Navigation!$P$30</definedName>
    <definedName name="grta">Navigation!$X$28</definedName>
    <definedName name="Gs">Navigation!$W$21</definedName>
    <definedName name="h">Navigation!$M$13</definedName>
    <definedName name="h_">Navigation!$O$13</definedName>
    <definedName name="h_°">Navigation!$O$11</definedName>
    <definedName name="h°">Navigation!$M$11</definedName>
    <definedName name="hma">Navigation!$N$13</definedName>
    <definedName name="hmav">Navigation!#REF!</definedName>
    <definedName name="hs">Navigation!$W$19</definedName>
    <definedName name="hs°">Navigation!$V$19</definedName>
    <definedName name="j">Navigation!$W$15</definedName>
    <definedName name="js">Navigation!$W$23</definedName>
    <definedName name="K">Navigation!$W$7</definedName>
    <definedName name="lat">Navigation!$V$23</definedName>
    <definedName name="lat°">Navigation!$V$15</definedName>
    <definedName name="LHA">Navigation!$W$17</definedName>
    <definedName name="LHA_">Navigation!$W$28</definedName>
    <definedName name="LHA°">Navigation!$V$17</definedName>
    <definedName name="LHA°_">Navigation!$V$28</definedName>
    <definedName name="LHAa">Navigation!$AB$27</definedName>
    <definedName name="lon">Navigation!$V$25</definedName>
    <definedName name="ls">Navigation!$W$25</definedName>
    <definedName name="maxn">'globale Grafik'!$AE$6</definedName>
    <definedName name="maxs">'globale Grafik'!$AE$9</definedName>
    <definedName name="minn">'globale Grafik'!$AE$8</definedName>
    <definedName name="mins">'globale Grafik'!$AE$7</definedName>
    <definedName name="ot">Navigation!$G$13</definedName>
    <definedName name="ot_">Navigation!$G$21</definedName>
    <definedName name="P">Navigation!$U$7</definedName>
    <definedName name="q">Navigation!$W$9</definedName>
    <definedName name="ref">Navigation!$L$28</definedName>
    <definedName name="step">'globale Grafik'!$AE$17</definedName>
    <definedName name="t">Navigation!$AD$14</definedName>
    <definedName name="tau">Navigation!$W$14</definedName>
    <definedName name="taus">Navigation!$W$22</definedName>
    <definedName name="TG">Navigation!$F$20</definedName>
    <definedName name="V">Navigation!$W$11</definedName>
    <definedName name="var">Navigation!$V$6</definedName>
    <definedName name="vb">Standortgrafik!$O$9</definedName>
    <definedName name="vl">Standortgrafik!$O$10</definedName>
    <definedName name="W">Navigation!$W$12</definedName>
    <definedName name="Ws">Navigation!$W$20</definedName>
    <definedName name="z_">Navigation!$W$29</definedName>
  </definedNames>
  <calcPr calcId="181029"/>
  <extLst>
    <ext xmlns:x14="http://schemas.microsoft.com/office/spreadsheetml/2009/9/main" uri="{79F54976-1DA5-4618-B147-4CDE4B953A38}">
      <x14:workbookPr defaultImageDpi="32767"/>
    </ext>
  </extLst>
</workbook>
</file>

<file path=xl/calcChain.xml><?xml version="1.0" encoding="utf-8"?>
<calcChain xmlns="http://schemas.openxmlformats.org/spreadsheetml/2006/main">
  <c r="O28" i="7" l="1"/>
  <c r="P28" i="7" l="1"/>
  <c r="C9" i="7" l="1"/>
  <c r="C21" i="7" l="1"/>
  <c r="E21" i="7"/>
  <c r="F20" i="7"/>
  <c r="F22" i="7"/>
  <c r="F14" i="7"/>
  <c r="F13" i="7"/>
  <c r="M11" i="2" l="1"/>
  <c r="M10" i="2" l="1"/>
  <c r="M9" i="2"/>
  <c r="O9" i="2" s="1"/>
  <c r="E29" i="7" l="1"/>
  <c r="C29" i="7"/>
  <c r="L21" i="7"/>
  <c r="S20" i="7"/>
  <c r="L20" i="7"/>
  <c r="L19" i="7"/>
  <c r="O18" i="7"/>
  <c r="L18" i="7"/>
  <c r="O10" i="7"/>
  <c r="M10" i="7"/>
  <c r="R8" i="7"/>
  <c r="R9" i="7" s="1"/>
  <c r="O7" i="7"/>
  <c r="M7" i="7"/>
  <c r="H5" i="7"/>
  <c r="O8" i="7" l="1"/>
  <c r="M8" i="7"/>
  <c r="O19" i="7"/>
  <c r="O20" i="7"/>
  <c r="O25" i="7"/>
  <c r="O22" i="7"/>
  <c r="R10" i="7"/>
  <c r="R11" i="7" s="1"/>
  <c r="R12" i="7" s="1"/>
  <c r="R13" i="7" s="1"/>
  <c r="R14" i="7" s="1"/>
  <c r="R15" i="7" s="1"/>
  <c r="R16" i="7" s="1"/>
  <c r="R17" i="7" s="1"/>
  <c r="R18" i="7" s="1"/>
  <c r="O9" i="7" l="1"/>
  <c r="O11" i="7" s="1"/>
  <c r="O12" i="7" s="1"/>
  <c r="E34" i="7" s="1"/>
  <c r="O21" i="7"/>
  <c r="O23" i="7" s="1"/>
  <c r="O24" i="7" s="1"/>
  <c r="O29" i="7" s="1"/>
  <c r="M9" i="7"/>
  <c r="M11" i="7" s="1"/>
  <c r="M13" i="7" s="1"/>
  <c r="U7" i="7" l="1"/>
  <c r="O31" i="7"/>
  <c r="O13" i="7"/>
  <c r="O26" i="7"/>
  <c r="O27" i="7" s="1"/>
  <c r="P12" i="7"/>
  <c r="G34" i="7" s="1"/>
  <c r="M12" i="7"/>
  <c r="C34" i="7" s="1"/>
  <c r="N12" i="7" l="1"/>
  <c r="D34" i="7" s="1"/>
  <c r="O30" i="7" l="1"/>
  <c r="C30" i="7" s="1"/>
  <c r="D30" i="7" s="1"/>
  <c r="M8" i="2" l="1"/>
  <c r="M7" i="2"/>
  <c r="Y195" i="4" l="1"/>
  <c r="P18" i="7" l="1"/>
  <c r="P19" i="7" s="1"/>
  <c r="P20" i="7" l="1"/>
  <c r="P21" i="7" s="1"/>
  <c r="P25" i="7"/>
  <c r="P22" i="7"/>
  <c r="P23" i="7" l="1"/>
  <c r="P24" i="7" s="1"/>
  <c r="P29" i="7" l="1"/>
  <c r="P26" i="7"/>
  <c r="P27" i="7" s="1"/>
  <c r="W9" i="7" s="1"/>
  <c r="W10" i="7" l="1"/>
  <c r="W11" i="7" s="1"/>
  <c r="P30" i="7"/>
  <c r="P31" i="7"/>
  <c r="L192" i="4"/>
  <c r="L9" i="4"/>
  <c r="V9" i="7" l="1"/>
  <c r="E30" i="7"/>
  <c r="G30" i="7" s="1"/>
  <c r="Y196" i="4"/>
  <c r="V10" i="7"/>
  <c r="E31" i="7"/>
  <c r="G31" i="7" s="1"/>
  <c r="M196" i="4"/>
  <c r="L193" i="4" l="1"/>
  <c r="AE7" i="4" s="1"/>
  <c r="L8" i="4"/>
  <c r="W12" i="7" l="1"/>
  <c r="AE9" i="4"/>
  <c r="AE11" i="4" s="1"/>
  <c r="M195" i="4"/>
  <c r="AE6" i="4"/>
  <c r="AE12" i="4" s="1"/>
  <c r="AE8" i="4"/>
  <c r="V11" i="7"/>
  <c r="C31" i="7"/>
  <c r="D31" i="7" s="1"/>
  <c r="W13" i="7" l="1"/>
  <c r="W14" i="7" s="1"/>
  <c r="V12" i="7"/>
  <c r="AE10" i="4"/>
  <c r="AE13" i="4" s="1"/>
  <c r="AE15" i="4" s="1"/>
  <c r="AE16" i="4" s="1"/>
  <c r="W16" i="7" l="1"/>
  <c r="W17" i="7" s="1"/>
  <c r="W15" i="7"/>
  <c r="AE17" i="4"/>
  <c r="N7" i="4" s="1"/>
  <c r="N8" i="4" s="1"/>
  <c r="W18" i="7" l="1"/>
  <c r="N9" i="4"/>
  <c r="M8" i="4"/>
  <c r="O8" i="4" s="1"/>
  <c r="P8" i="4" l="1"/>
  <c r="T8" i="4" s="1"/>
  <c r="R8" i="4"/>
  <c r="V8" i="4" s="1"/>
  <c r="S8" i="4"/>
  <c r="W8" i="4" s="1"/>
  <c r="Q8" i="4"/>
  <c r="U8" i="4" s="1"/>
  <c r="M9" i="4"/>
  <c r="O9" i="4" s="1"/>
  <c r="N10" i="4"/>
  <c r="M10" i="4" l="1"/>
  <c r="O10" i="4" s="1"/>
  <c r="N11" i="4"/>
  <c r="Q9" i="4"/>
  <c r="U9" i="4" s="1"/>
  <c r="P9" i="4"/>
  <c r="T9" i="4" s="1"/>
  <c r="R9" i="4"/>
  <c r="V9" i="4" s="1"/>
  <c r="S9" i="4"/>
  <c r="W9" i="4" s="1"/>
  <c r="M11" i="4" l="1"/>
  <c r="O11" i="4" s="1"/>
  <c r="N12" i="4"/>
  <c r="Q10" i="4"/>
  <c r="U10" i="4" s="1"/>
  <c r="S10" i="4"/>
  <c r="W10" i="4" s="1"/>
  <c r="P10" i="4"/>
  <c r="T10" i="4" s="1"/>
  <c r="R10" i="4"/>
  <c r="V10" i="4" s="1"/>
  <c r="M12" i="4" l="1"/>
  <c r="O12" i="4" s="1"/>
  <c r="N13" i="4"/>
  <c r="P11" i="4"/>
  <c r="T11" i="4" s="1"/>
  <c r="R11" i="4"/>
  <c r="V11" i="4" s="1"/>
  <c r="S11" i="4"/>
  <c r="W11" i="4" s="1"/>
  <c r="Q11" i="4"/>
  <c r="U11" i="4" s="1"/>
  <c r="M13" i="4" l="1"/>
  <c r="O13" i="4" s="1"/>
  <c r="N14" i="4"/>
  <c r="Q12" i="4"/>
  <c r="U12" i="4" s="1"/>
  <c r="R12" i="4"/>
  <c r="V12" i="4" s="1"/>
  <c r="P12" i="4"/>
  <c r="T12" i="4" s="1"/>
  <c r="S12" i="4"/>
  <c r="W12" i="4" s="1"/>
  <c r="M14" i="4" l="1"/>
  <c r="O14" i="4" s="1"/>
  <c r="N15" i="4"/>
  <c r="Q13" i="4"/>
  <c r="U13" i="4" s="1"/>
  <c r="P13" i="4"/>
  <c r="T13" i="4" s="1"/>
  <c r="S13" i="4"/>
  <c r="W13" i="4" s="1"/>
  <c r="R13" i="4"/>
  <c r="V13" i="4" s="1"/>
  <c r="M15" i="4" l="1"/>
  <c r="O15" i="4" s="1"/>
  <c r="N16" i="4"/>
  <c r="Q14" i="4"/>
  <c r="U14" i="4" s="1"/>
  <c r="R14" i="4"/>
  <c r="V14" i="4" s="1"/>
  <c r="S14" i="4"/>
  <c r="W14" i="4" s="1"/>
  <c r="P14" i="4"/>
  <c r="T14" i="4" s="1"/>
  <c r="N17" i="4" l="1"/>
  <c r="M16" i="4"/>
  <c r="O16" i="4" s="1"/>
  <c r="S15" i="4"/>
  <c r="W15" i="4" s="1"/>
  <c r="Q15" i="4"/>
  <c r="U15" i="4" s="1"/>
  <c r="R15" i="4"/>
  <c r="V15" i="4" s="1"/>
  <c r="P15" i="4"/>
  <c r="T15" i="4" s="1"/>
  <c r="Q16" i="4" l="1"/>
  <c r="U16" i="4" s="1"/>
  <c r="P16" i="4"/>
  <c r="T16" i="4" s="1"/>
  <c r="S16" i="4"/>
  <c r="W16" i="4" s="1"/>
  <c r="R16" i="4"/>
  <c r="V16" i="4" s="1"/>
  <c r="M17" i="4"/>
  <c r="O17" i="4" s="1"/>
  <c r="N18" i="4"/>
  <c r="N19" i="4" l="1"/>
  <c r="M18" i="4"/>
  <c r="O18" i="4" s="1"/>
  <c r="R17" i="4"/>
  <c r="V17" i="4" s="1"/>
  <c r="Q17" i="4"/>
  <c r="U17" i="4" s="1"/>
  <c r="S17" i="4"/>
  <c r="W17" i="4" s="1"/>
  <c r="P17" i="4"/>
  <c r="T17" i="4" s="1"/>
  <c r="R18" i="4" l="1"/>
  <c r="V18" i="4" s="1"/>
  <c r="P18" i="4"/>
  <c r="T18" i="4" s="1"/>
  <c r="Q18" i="4"/>
  <c r="U18" i="4" s="1"/>
  <c r="S18" i="4"/>
  <c r="W18" i="4" s="1"/>
  <c r="M19" i="4"/>
  <c r="O19" i="4" s="1"/>
  <c r="N20" i="4"/>
  <c r="Q19" i="4" l="1"/>
  <c r="U19" i="4" s="1"/>
  <c r="P19" i="4"/>
  <c r="T19" i="4" s="1"/>
  <c r="S19" i="4"/>
  <c r="W19" i="4" s="1"/>
  <c r="R19" i="4"/>
  <c r="V19" i="4" s="1"/>
  <c r="M20" i="4"/>
  <c r="O20" i="4" s="1"/>
  <c r="N21" i="4"/>
  <c r="M21" i="4" l="1"/>
  <c r="O21" i="4" s="1"/>
  <c r="N22" i="4"/>
  <c r="P20" i="4"/>
  <c r="T20" i="4" s="1"/>
  <c r="Q20" i="4"/>
  <c r="U20" i="4" s="1"/>
  <c r="R20" i="4"/>
  <c r="V20" i="4" s="1"/>
  <c r="S20" i="4"/>
  <c r="W20" i="4" s="1"/>
  <c r="M22" i="4" l="1"/>
  <c r="O22" i="4" s="1"/>
  <c r="N23" i="4"/>
  <c r="Q21" i="4"/>
  <c r="U21" i="4" s="1"/>
  <c r="P21" i="4"/>
  <c r="T21" i="4" s="1"/>
  <c r="S21" i="4"/>
  <c r="W21" i="4" s="1"/>
  <c r="R21" i="4"/>
  <c r="V21" i="4" s="1"/>
  <c r="N24" i="4" l="1"/>
  <c r="M23" i="4"/>
  <c r="O23" i="4" s="1"/>
  <c r="P22" i="4"/>
  <c r="T22" i="4" s="1"/>
  <c r="Q22" i="4"/>
  <c r="U22" i="4" s="1"/>
  <c r="R22" i="4"/>
  <c r="V22" i="4" s="1"/>
  <c r="S22" i="4"/>
  <c r="W22" i="4" s="1"/>
  <c r="M24" i="4" l="1"/>
  <c r="O24" i="4" s="1"/>
  <c r="N25" i="4"/>
  <c r="Q23" i="4"/>
  <c r="U23" i="4" s="1"/>
  <c r="R23" i="4"/>
  <c r="V23" i="4" s="1"/>
  <c r="S23" i="4"/>
  <c r="W23" i="4" s="1"/>
  <c r="P23" i="4"/>
  <c r="T23" i="4" s="1"/>
  <c r="N26" i="4" l="1"/>
  <c r="M25" i="4"/>
  <c r="O25" i="4" s="1"/>
  <c r="R24" i="4"/>
  <c r="V24" i="4" s="1"/>
  <c r="Q24" i="4"/>
  <c r="U24" i="4" s="1"/>
  <c r="S24" i="4"/>
  <c r="W24" i="4" s="1"/>
  <c r="P24" i="4"/>
  <c r="T24" i="4" s="1"/>
  <c r="Q25" i="4" l="1"/>
  <c r="U25" i="4" s="1"/>
  <c r="R25" i="4"/>
  <c r="V25" i="4" s="1"/>
  <c r="P25" i="4"/>
  <c r="T25" i="4" s="1"/>
  <c r="S25" i="4"/>
  <c r="W25" i="4" s="1"/>
  <c r="N27" i="4"/>
  <c r="M26" i="4"/>
  <c r="O26" i="4" s="1"/>
  <c r="N28" i="4" l="1"/>
  <c r="M27" i="4"/>
  <c r="O27" i="4" s="1"/>
  <c r="P26" i="4"/>
  <c r="T26" i="4" s="1"/>
  <c r="R26" i="4"/>
  <c r="V26" i="4" s="1"/>
  <c r="Q26" i="4"/>
  <c r="U26" i="4" s="1"/>
  <c r="S26" i="4"/>
  <c r="W26" i="4" s="1"/>
  <c r="P27" i="4" l="1"/>
  <c r="T27" i="4" s="1"/>
  <c r="R27" i="4"/>
  <c r="V27" i="4" s="1"/>
  <c r="S27" i="4"/>
  <c r="W27" i="4" s="1"/>
  <c r="Q27" i="4"/>
  <c r="U27" i="4" s="1"/>
  <c r="M28" i="4"/>
  <c r="O28" i="4" s="1"/>
  <c r="N29" i="4"/>
  <c r="M29" i="4" l="1"/>
  <c r="O29" i="4" s="1"/>
  <c r="N30" i="4"/>
  <c r="S28" i="4"/>
  <c r="W28" i="4" s="1"/>
  <c r="R28" i="4"/>
  <c r="V28" i="4" s="1"/>
  <c r="Q28" i="4"/>
  <c r="U28" i="4" s="1"/>
  <c r="P28" i="4"/>
  <c r="T28" i="4" s="1"/>
  <c r="M30" i="4" l="1"/>
  <c r="O30" i="4" s="1"/>
  <c r="N31" i="4"/>
  <c r="P29" i="4"/>
  <c r="T29" i="4" s="1"/>
  <c r="Q29" i="4"/>
  <c r="U29" i="4" s="1"/>
  <c r="S29" i="4"/>
  <c r="W29" i="4" s="1"/>
  <c r="R29" i="4"/>
  <c r="V29" i="4" s="1"/>
  <c r="M31" i="4" l="1"/>
  <c r="O31" i="4" s="1"/>
  <c r="N32" i="4"/>
  <c r="P30" i="4"/>
  <c r="T30" i="4" s="1"/>
  <c r="Q30" i="4"/>
  <c r="U30" i="4" s="1"/>
  <c r="R30" i="4"/>
  <c r="V30" i="4" s="1"/>
  <c r="S30" i="4"/>
  <c r="W30" i="4" s="1"/>
  <c r="N33" i="4" l="1"/>
  <c r="M32" i="4"/>
  <c r="O32" i="4" s="1"/>
  <c r="P31" i="4"/>
  <c r="T31" i="4" s="1"/>
  <c r="Q31" i="4"/>
  <c r="U31" i="4" s="1"/>
  <c r="R31" i="4"/>
  <c r="V31" i="4" s="1"/>
  <c r="S31" i="4"/>
  <c r="W31" i="4" s="1"/>
  <c r="P32" i="4" l="1"/>
  <c r="T32" i="4" s="1"/>
  <c r="S32" i="4"/>
  <c r="W32" i="4" s="1"/>
  <c r="R32" i="4"/>
  <c r="V32" i="4" s="1"/>
  <c r="Q32" i="4"/>
  <c r="U32" i="4" s="1"/>
  <c r="N34" i="4"/>
  <c r="M33" i="4"/>
  <c r="O33" i="4" s="1"/>
  <c r="M34" i="4" l="1"/>
  <c r="O34" i="4" s="1"/>
  <c r="N35" i="4"/>
  <c r="P33" i="4"/>
  <c r="T33" i="4" s="1"/>
  <c r="Q33" i="4"/>
  <c r="U33" i="4" s="1"/>
  <c r="R33" i="4"/>
  <c r="V33" i="4" s="1"/>
  <c r="S33" i="4"/>
  <c r="W33" i="4" s="1"/>
  <c r="M35" i="4" l="1"/>
  <c r="O35" i="4" s="1"/>
  <c r="N36" i="4"/>
  <c r="R34" i="4"/>
  <c r="V34" i="4" s="1"/>
  <c r="P34" i="4"/>
  <c r="T34" i="4" s="1"/>
  <c r="S34" i="4"/>
  <c r="W34" i="4" s="1"/>
  <c r="Q34" i="4"/>
  <c r="U34" i="4" s="1"/>
  <c r="M36" i="4" l="1"/>
  <c r="O36" i="4" s="1"/>
  <c r="N37" i="4"/>
  <c r="R35" i="4"/>
  <c r="V35" i="4" s="1"/>
  <c r="P35" i="4"/>
  <c r="T35" i="4" s="1"/>
  <c r="Q35" i="4"/>
  <c r="U35" i="4" s="1"/>
  <c r="S35" i="4"/>
  <c r="W35" i="4" s="1"/>
  <c r="S36" i="4" l="1"/>
  <c r="W36" i="4" s="1"/>
  <c r="P36" i="4"/>
  <c r="T36" i="4" s="1"/>
  <c r="R36" i="4"/>
  <c r="V36" i="4" s="1"/>
  <c r="Q36" i="4"/>
  <c r="U36" i="4" s="1"/>
  <c r="M37" i="4"/>
  <c r="O37" i="4" s="1"/>
  <c r="N38" i="4"/>
  <c r="M38" i="4" l="1"/>
  <c r="O38" i="4" s="1"/>
  <c r="N39" i="4"/>
  <c r="S37" i="4"/>
  <c r="W37" i="4" s="1"/>
  <c r="Q37" i="4"/>
  <c r="U37" i="4" s="1"/>
  <c r="P37" i="4"/>
  <c r="T37" i="4" s="1"/>
  <c r="R37" i="4"/>
  <c r="V37" i="4" s="1"/>
  <c r="N40" i="4" l="1"/>
  <c r="M39" i="4"/>
  <c r="O39" i="4" s="1"/>
  <c r="Q38" i="4"/>
  <c r="U38" i="4" s="1"/>
  <c r="S38" i="4"/>
  <c r="W38" i="4" s="1"/>
  <c r="P38" i="4"/>
  <c r="T38" i="4" s="1"/>
  <c r="R38" i="4"/>
  <c r="V38" i="4" s="1"/>
  <c r="P39" i="4" l="1"/>
  <c r="T39" i="4" s="1"/>
  <c r="Q39" i="4"/>
  <c r="U39" i="4" s="1"/>
  <c r="R39" i="4"/>
  <c r="V39" i="4" s="1"/>
  <c r="S39" i="4"/>
  <c r="W39" i="4" s="1"/>
  <c r="N41" i="4"/>
  <c r="M40" i="4"/>
  <c r="O40" i="4" s="1"/>
  <c r="R40" i="4" l="1"/>
  <c r="V40" i="4" s="1"/>
  <c r="Q40" i="4"/>
  <c r="U40" i="4" s="1"/>
  <c r="P40" i="4"/>
  <c r="T40" i="4" s="1"/>
  <c r="S40" i="4"/>
  <c r="W40" i="4" s="1"/>
  <c r="M41" i="4"/>
  <c r="O41" i="4" s="1"/>
  <c r="N42" i="4"/>
  <c r="R41" i="4" l="1"/>
  <c r="V41" i="4" s="1"/>
  <c r="P41" i="4"/>
  <c r="T41" i="4" s="1"/>
  <c r="Q41" i="4"/>
  <c r="U41" i="4" s="1"/>
  <c r="S41" i="4"/>
  <c r="W41" i="4" s="1"/>
  <c r="N43" i="4"/>
  <c r="M42" i="4"/>
  <c r="O42" i="4" s="1"/>
  <c r="P42" i="4" l="1"/>
  <c r="T42" i="4" s="1"/>
  <c r="R42" i="4"/>
  <c r="V42" i="4" s="1"/>
  <c r="Q42" i="4"/>
  <c r="U42" i="4" s="1"/>
  <c r="S42" i="4"/>
  <c r="W42" i="4" s="1"/>
  <c r="M43" i="4"/>
  <c r="O43" i="4" s="1"/>
  <c r="N44" i="4"/>
  <c r="M44" i="4" l="1"/>
  <c r="O44" i="4" s="1"/>
  <c r="N45" i="4"/>
  <c r="S43" i="4"/>
  <c r="W43" i="4" s="1"/>
  <c r="Q43" i="4"/>
  <c r="U43" i="4" s="1"/>
  <c r="P43" i="4"/>
  <c r="T43" i="4" s="1"/>
  <c r="R43" i="4"/>
  <c r="V43" i="4" s="1"/>
  <c r="M45" i="4" l="1"/>
  <c r="O45" i="4" s="1"/>
  <c r="N46" i="4"/>
  <c r="P44" i="4"/>
  <c r="T44" i="4" s="1"/>
  <c r="S44" i="4"/>
  <c r="W44" i="4" s="1"/>
  <c r="Q44" i="4"/>
  <c r="U44" i="4" s="1"/>
  <c r="R44" i="4"/>
  <c r="V44" i="4" s="1"/>
  <c r="M46" i="4" l="1"/>
  <c r="O46" i="4" s="1"/>
  <c r="N47" i="4"/>
  <c r="R45" i="4"/>
  <c r="V45" i="4" s="1"/>
  <c r="S45" i="4"/>
  <c r="W45" i="4" s="1"/>
  <c r="P45" i="4"/>
  <c r="T45" i="4" s="1"/>
  <c r="Q45" i="4"/>
  <c r="U45" i="4" s="1"/>
  <c r="M47" i="4" l="1"/>
  <c r="O47" i="4" s="1"/>
  <c r="N48" i="4"/>
  <c r="P46" i="4"/>
  <c r="T46" i="4" s="1"/>
  <c r="Q46" i="4"/>
  <c r="U46" i="4" s="1"/>
  <c r="R46" i="4"/>
  <c r="V46" i="4" s="1"/>
  <c r="S46" i="4"/>
  <c r="W46" i="4" s="1"/>
  <c r="N49" i="4" l="1"/>
  <c r="M48" i="4"/>
  <c r="O48" i="4" s="1"/>
  <c r="P47" i="4"/>
  <c r="T47" i="4" s="1"/>
  <c r="S47" i="4"/>
  <c r="W47" i="4" s="1"/>
  <c r="Q47" i="4"/>
  <c r="U47" i="4" s="1"/>
  <c r="R47" i="4"/>
  <c r="V47" i="4" s="1"/>
  <c r="R48" i="4" l="1"/>
  <c r="V48" i="4" s="1"/>
  <c r="P48" i="4"/>
  <c r="T48" i="4" s="1"/>
  <c r="Q48" i="4"/>
  <c r="U48" i="4" s="1"/>
  <c r="S48" i="4"/>
  <c r="W48" i="4" s="1"/>
  <c r="M49" i="4"/>
  <c r="O49" i="4" s="1"/>
  <c r="N50" i="4"/>
  <c r="M50" i="4" l="1"/>
  <c r="O50" i="4" s="1"/>
  <c r="N51" i="4"/>
  <c r="S49" i="4"/>
  <c r="W49" i="4" s="1"/>
  <c r="Q49" i="4"/>
  <c r="U49" i="4" s="1"/>
  <c r="R49" i="4"/>
  <c r="V49" i="4" s="1"/>
  <c r="P49" i="4"/>
  <c r="T49" i="4" s="1"/>
  <c r="M51" i="4" l="1"/>
  <c r="O51" i="4" s="1"/>
  <c r="N52" i="4"/>
  <c r="Q50" i="4"/>
  <c r="U50" i="4" s="1"/>
  <c r="P50" i="4"/>
  <c r="T50" i="4" s="1"/>
  <c r="S50" i="4"/>
  <c r="W50" i="4" s="1"/>
  <c r="R50" i="4"/>
  <c r="V50" i="4" s="1"/>
  <c r="M52" i="4" l="1"/>
  <c r="O52" i="4" s="1"/>
  <c r="N53" i="4"/>
  <c r="R51" i="4"/>
  <c r="V51" i="4" s="1"/>
  <c r="P51" i="4"/>
  <c r="T51" i="4" s="1"/>
  <c r="Q51" i="4"/>
  <c r="U51" i="4" s="1"/>
  <c r="S51" i="4"/>
  <c r="W51" i="4" s="1"/>
  <c r="M53" i="4" l="1"/>
  <c r="O53" i="4" s="1"/>
  <c r="N54" i="4"/>
  <c r="S52" i="4"/>
  <c r="W52" i="4" s="1"/>
  <c r="R52" i="4"/>
  <c r="V52" i="4" s="1"/>
  <c r="Q52" i="4"/>
  <c r="U52" i="4" s="1"/>
  <c r="P52" i="4"/>
  <c r="T52" i="4" s="1"/>
  <c r="M54" i="4" l="1"/>
  <c r="O54" i="4" s="1"/>
  <c r="N55" i="4"/>
  <c r="Q53" i="4"/>
  <c r="U53" i="4" s="1"/>
  <c r="P53" i="4"/>
  <c r="T53" i="4" s="1"/>
  <c r="S53" i="4"/>
  <c r="W53" i="4" s="1"/>
  <c r="R53" i="4"/>
  <c r="V53" i="4" s="1"/>
  <c r="N56" i="4" l="1"/>
  <c r="M55" i="4"/>
  <c r="O55" i="4" s="1"/>
  <c r="Q54" i="4"/>
  <c r="U54" i="4" s="1"/>
  <c r="P54" i="4"/>
  <c r="T54" i="4" s="1"/>
  <c r="R54" i="4"/>
  <c r="V54" i="4" s="1"/>
  <c r="S54" i="4"/>
  <c r="W54" i="4" s="1"/>
  <c r="P55" i="4" l="1"/>
  <c r="T55" i="4" s="1"/>
  <c r="Q55" i="4"/>
  <c r="U55" i="4" s="1"/>
  <c r="S55" i="4"/>
  <c r="W55" i="4" s="1"/>
  <c r="R55" i="4"/>
  <c r="V55" i="4" s="1"/>
  <c r="N57" i="4"/>
  <c r="M56" i="4"/>
  <c r="O56" i="4" s="1"/>
  <c r="Q56" i="4" l="1"/>
  <c r="U56" i="4" s="1"/>
  <c r="S56" i="4"/>
  <c r="W56" i="4" s="1"/>
  <c r="R56" i="4"/>
  <c r="V56" i="4" s="1"/>
  <c r="P56" i="4"/>
  <c r="T56" i="4" s="1"/>
  <c r="M57" i="4"/>
  <c r="O57" i="4" s="1"/>
  <c r="N58" i="4"/>
  <c r="N59" i="4" l="1"/>
  <c r="M58" i="4"/>
  <c r="O58" i="4" s="1"/>
  <c r="P57" i="4"/>
  <c r="T57" i="4" s="1"/>
  <c r="Q57" i="4"/>
  <c r="U57" i="4" s="1"/>
  <c r="S57" i="4"/>
  <c r="W57" i="4" s="1"/>
  <c r="R57" i="4"/>
  <c r="V57" i="4" s="1"/>
  <c r="Q58" i="4" l="1"/>
  <c r="U58" i="4" s="1"/>
  <c r="P58" i="4"/>
  <c r="T58" i="4" s="1"/>
  <c r="R58" i="4"/>
  <c r="V58" i="4" s="1"/>
  <c r="S58" i="4"/>
  <c r="W58" i="4" s="1"/>
  <c r="M59" i="4"/>
  <c r="O59" i="4" s="1"/>
  <c r="N60" i="4"/>
  <c r="M60" i="4" l="1"/>
  <c r="O60" i="4" s="1"/>
  <c r="N61" i="4"/>
  <c r="S59" i="4"/>
  <c r="W59" i="4" s="1"/>
  <c r="R59" i="4"/>
  <c r="V59" i="4" s="1"/>
  <c r="P59" i="4"/>
  <c r="T59" i="4" s="1"/>
  <c r="Q59" i="4"/>
  <c r="U59" i="4" s="1"/>
  <c r="M61" i="4" l="1"/>
  <c r="O61" i="4" s="1"/>
  <c r="N62" i="4"/>
  <c r="Q60" i="4"/>
  <c r="U60" i="4" s="1"/>
  <c r="P60" i="4"/>
  <c r="T60" i="4" s="1"/>
  <c r="R60" i="4"/>
  <c r="V60" i="4" s="1"/>
  <c r="S60" i="4"/>
  <c r="W60" i="4" s="1"/>
  <c r="N63" i="4" l="1"/>
  <c r="M62" i="4"/>
  <c r="O62" i="4" s="1"/>
  <c r="R61" i="4"/>
  <c r="V61" i="4" s="1"/>
  <c r="Q61" i="4"/>
  <c r="U61" i="4" s="1"/>
  <c r="S61" i="4"/>
  <c r="W61" i="4" s="1"/>
  <c r="P61" i="4"/>
  <c r="T61" i="4" s="1"/>
  <c r="P62" i="4" l="1"/>
  <c r="T62" i="4" s="1"/>
  <c r="Q62" i="4"/>
  <c r="U62" i="4" s="1"/>
  <c r="S62" i="4"/>
  <c r="W62" i="4" s="1"/>
  <c r="R62" i="4"/>
  <c r="V62" i="4" s="1"/>
  <c r="M63" i="4"/>
  <c r="O63" i="4" s="1"/>
  <c r="N64" i="4"/>
  <c r="N65" i="4" l="1"/>
  <c r="M64" i="4"/>
  <c r="O64" i="4" s="1"/>
  <c r="Q63" i="4"/>
  <c r="U63" i="4" s="1"/>
  <c r="P63" i="4"/>
  <c r="T63" i="4" s="1"/>
  <c r="S63" i="4"/>
  <c r="W63" i="4" s="1"/>
  <c r="R63" i="4"/>
  <c r="V63" i="4" s="1"/>
  <c r="Q64" i="4" l="1"/>
  <c r="U64" i="4" s="1"/>
  <c r="S64" i="4"/>
  <c r="W64" i="4" s="1"/>
  <c r="P64" i="4"/>
  <c r="T64" i="4" s="1"/>
  <c r="R64" i="4"/>
  <c r="V64" i="4" s="1"/>
  <c r="M65" i="4"/>
  <c r="O65" i="4" s="1"/>
  <c r="N66" i="4"/>
  <c r="P65" i="4" l="1"/>
  <c r="T65" i="4" s="1"/>
  <c r="Q65" i="4"/>
  <c r="U65" i="4" s="1"/>
  <c r="R65" i="4"/>
  <c r="V65" i="4" s="1"/>
  <c r="S65" i="4"/>
  <c r="W65" i="4" s="1"/>
  <c r="M66" i="4"/>
  <c r="O66" i="4" s="1"/>
  <c r="N67" i="4"/>
  <c r="M67" i="4" l="1"/>
  <c r="O67" i="4" s="1"/>
  <c r="N68" i="4"/>
  <c r="P66" i="4"/>
  <c r="T66" i="4" s="1"/>
  <c r="Q66" i="4"/>
  <c r="U66" i="4" s="1"/>
  <c r="S66" i="4"/>
  <c r="W66" i="4" s="1"/>
  <c r="R66" i="4"/>
  <c r="V66" i="4" s="1"/>
  <c r="M68" i="4" l="1"/>
  <c r="O68" i="4" s="1"/>
  <c r="N69" i="4"/>
  <c r="R67" i="4"/>
  <c r="V67" i="4" s="1"/>
  <c r="Q67" i="4"/>
  <c r="U67" i="4" s="1"/>
  <c r="S67" i="4"/>
  <c r="W67" i="4" s="1"/>
  <c r="P67" i="4"/>
  <c r="T67" i="4" s="1"/>
  <c r="M69" i="4" l="1"/>
  <c r="O69" i="4" s="1"/>
  <c r="N70" i="4"/>
  <c r="Q68" i="4"/>
  <c r="U68" i="4" s="1"/>
  <c r="S68" i="4"/>
  <c r="W68" i="4" s="1"/>
  <c r="P68" i="4"/>
  <c r="T68" i="4" s="1"/>
  <c r="R68" i="4"/>
  <c r="V68" i="4" s="1"/>
  <c r="M70" i="4" l="1"/>
  <c r="O70" i="4" s="1"/>
  <c r="N71" i="4"/>
  <c r="P69" i="4"/>
  <c r="T69" i="4" s="1"/>
  <c r="Q69" i="4"/>
  <c r="U69" i="4" s="1"/>
  <c r="R69" i="4"/>
  <c r="V69" i="4" s="1"/>
  <c r="S69" i="4"/>
  <c r="W69" i="4" s="1"/>
  <c r="M71" i="4" l="1"/>
  <c r="O71" i="4" s="1"/>
  <c r="N72" i="4"/>
  <c r="Q70" i="4"/>
  <c r="U70" i="4" s="1"/>
  <c r="P70" i="4"/>
  <c r="T70" i="4" s="1"/>
  <c r="R70" i="4"/>
  <c r="V70" i="4" s="1"/>
  <c r="S70" i="4"/>
  <c r="W70" i="4" s="1"/>
  <c r="N73" i="4" l="1"/>
  <c r="M72" i="4"/>
  <c r="O72" i="4" s="1"/>
  <c r="Q71" i="4"/>
  <c r="U71" i="4" s="1"/>
  <c r="P71" i="4"/>
  <c r="T71" i="4" s="1"/>
  <c r="R71" i="4"/>
  <c r="V71" i="4" s="1"/>
  <c r="S71" i="4"/>
  <c r="W71" i="4" s="1"/>
  <c r="S72" i="4" l="1"/>
  <c r="W72" i="4" s="1"/>
  <c r="R72" i="4"/>
  <c r="V72" i="4" s="1"/>
  <c r="Q72" i="4"/>
  <c r="U72" i="4" s="1"/>
  <c r="P72" i="4"/>
  <c r="T72" i="4" s="1"/>
  <c r="M73" i="4"/>
  <c r="O73" i="4" s="1"/>
  <c r="N74" i="4"/>
  <c r="M74" i="4" l="1"/>
  <c r="O74" i="4" s="1"/>
  <c r="N75" i="4"/>
  <c r="R73" i="4"/>
  <c r="V73" i="4" s="1"/>
  <c r="P73" i="4"/>
  <c r="T73" i="4" s="1"/>
  <c r="S73" i="4"/>
  <c r="W73" i="4" s="1"/>
  <c r="Q73" i="4"/>
  <c r="U73" i="4" s="1"/>
  <c r="M75" i="4" l="1"/>
  <c r="O75" i="4" s="1"/>
  <c r="N76" i="4"/>
  <c r="Q74" i="4"/>
  <c r="U74" i="4" s="1"/>
  <c r="S74" i="4"/>
  <c r="W74" i="4" s="1"/>
  <c r="R74" i="4"/>
  <c r="V74" i="4" s="1"/>
  <c r="P74" i="4"/>
  <c r="T74" i="4" s="1"/>
  <c r="N77" i="4" l="1"/>
  <c r="M76" i="4"/>
  <c r="O76" i="4" s="1"/>
  <c r="R75" i="4"/>
  <c r="V75" i="4" s="1"/>
  <c r="Q75" i="4"/>
  <c r="U75" i="4" s="1"/>
  <c r="S75" i="4"/>
  <c r="W75" i="4" s="1"/>
  <c r="P75" i="4"/>
  <c r="T75" i="4" s="1"/>
  <c r="Q76" i="4" l="1"/>
  <c r="U76" i="4" s="1"/>
  <c r="P76" i="4"/>
  <c r="T76" i="4" s="1"/>
  <c r="R76" i="4"/>
  <c r="V76" i="4" s="1"/>
  <c r="S76" i="4"/>
  <c r="W76" i="4" s="1"/>
  <c r="M77" i="4"/>
  <c r="O77" i="4" s="1"/>
  <c r="N78" i="4"/>
  <c r="M78" i="4" l="1"/>
  <c r="O78" i="4" s="1"/>
  <c r="N79" i="4"/>
  <c r="Q77" i="4"/>
  <c r="U77" i="4" s="1"/>
  <c r="P77" i="4"/>
  <c r="T77" i="4" s="1"/>
  <c r="R77" i="4"/>
  <c r="V77" i="4" s="1"/>
  <c r="S77" i="4"/>
  <c r="W77" i="4" s="1"/>
  <c r="M79" i="4" l="1"/>
  <c r="O79" i="4" s="1"/>
  <c r="N80" i="4"/>
  <c r="Q78" i="4"/>
  <c r="U78" i="4" s="1"/>
  <c r="P78" i="4"/>
  <c r="T78" i="4" s="1"/>
  <c r="S78" i="4"/>
  <c r="W78" i="4" s="1"/>
  <c r="R78" i="4"/>
  <c r="V78" i="4" s="1"/>
  <c r="M80" i="4" l="1"/>
  <c r="O80" i="4" s="1"/>
  <c r="N81" i="4"/>
  <c r="R79" i="4"/>
  <c r="V79" i="4" s="1"/>
  <c r="Q79" i="4"/>
  <c r="U79" i="4" s="1"/>
  <c r="S79" i="4"/>
  <c r="W79" i="4" s="1"/>
  <c r="P79" i="4"/>
  <c r="T79" i="4" s="1"/>
  <c r="M81" i="4" l="1"/>
  <c r="O81" i="4" s="1"/>
  <c r="N82" i="4"/>
  <c r="R80" i="4"/>
  <c r="V80" i="4" s="1"/>
  <c r="S80" i="4"/>
  <c r="W80" i="4" s="1"/>
  <c r="P80" i="4"/>
  <c r="T80" i="4" s="1"/>
  <c r="Q80" i="4"/>
  <c r="U80" i="4" s="1"/>
  <c r="N83" i="4" l="1"/>
  <c r="M82" i="4"/>
  <c r="O82" i="4" s="1"/>
  <c r="Q81" i="4"/>
  <c r="U81" i="4" s="1"/>
  <c r="P81" i="4"/>
  <c r="T81" i="4" s="1"/>
  <c r="R81" i="4"/>
  <c r="V81" i="4" s="1"/>
  <c r="S81" i="4"/>
  <c r="W81" i="4" s="1"/>
  <c r="R82" i="4" l="1"/>
  <c r="V82" i="4" s="1"/>
  <c r="S82" i="4"/>
  <c r="W82" i="4" s="1"/>
  <c r="Q82" i="4"/>
  <c r="U82" i="4" s="1"/>
  <c r="P82" i="4"/>
  <c r="T82" i="4" s="1"/>
  <c r="M83" i="4"/>
  <c r="O83" i="4" s="1"/>
  <c r="N84" i="4"/>
  <c r="P83" i="4" l="1"/>
  <c r="T83" i="4" s="1"/>
  <c r="Q83" i="4"/>
  <c r="U83" i="4" s="1"/>
  <c r="R83" i="4"/>
  <c r="V83" i="4" s="1"/>
  <c r="S83" i="4"/>
  <c r="W83" i="4" s="1"/>
  <c r="N85" i="4"/>
  <c r="M84" i="4"/>
  <c r="O84" i="4" s="1"/>
  <c r="Q84" i="4" l="1"/>
  <c r="U84" i="4" s="1"/>
  <c r="P84" i="4"/>
  <c r="T84" i="4" s="1"/>
  <c r="R84" i="4"/>
  <c r="V84" i="4" s="1"/>
  <c r="S84" i="4"/>
  <c r="W84" i="4" s="1"/>
  <c r="M85" i="4"/>
  <c r="O85" i="4" s="1"/>
  <c r="N86" i="4"/>
  <c r="Q85" i="4" l="1"/>
  <c r="U85" i="4" s="1"/>
  <c r="R85" i="4"/>
  <c r="V85" i="4" s="1"/>
  <c r="P85" i="4"/>
  <c r="T85" i="4" s="1"/>
  <c r="S85" i="4"/>
  <c r="W85" i="4" s="1"/>
  <c r="M86" i="4"/>
  <c r="O86" i="4" s="1"/>
  <c r="N87" i="4"/>
  <c r="M87" i="4" l="1"/>
  <c r="O87" i="4" s="1"/>
  <c r="N88" i="4"/>
  <c r="P86" i="4"/>
  <c r="T86" i="4" s="1"/>
  <c r="Q86" i="4"/>
  <c r="U86" i="4" s="1"/>
  <c r="R86" i="4"/>
  <c r="V86" i="4" s="1"/>
  <c r="S86" i="4"/>
  <c r="W86" i="4" s="1"/>
  <c r="M88" i="4" l="1"/>
  <c r="O88" i="4" s="1"/>
  <c r="N89" i="4"/>
  <c r="Q87" i="4"/>
  <c r="U87" i="4" s="1"/>
  <c r="R87" i="4"/>
  <c r="V87" i="4" s="1"/>
  <c r="S87" i="4"/>
  <c r="W87" i="4" s="1"/>
  <c r="P87" i="4"/>
  <c r="T87" i="4" s="1"/>
  <c r="M89" i="4" l="1"/>
  <c r="O89" i="4" s="1"/>
  <c r="N90" i="4"/>
  <c r="S88" i="4"/>
  <c r="W88" i="4" s="1"/>
  <c r="Q88" i="4"/>
  <c r="U88" i="4" s="1"/>
  <c r="P88" i="4"/>
  <c r="T88" i="4" s="1"/>
  <c r="R88" i="4"/>
  <c r="V88" i="4" s="1"/>
  <c r="N91" i="4" l="1"/>
  <c r="M90" i="4"/>
  <c r="O90" i="4" s="1"/>
  <c r="Q89" i="4"/>
  <c r="U89" i="4" s="1"/>
  <c r="R89" i="4"/>
  <c r="V89" i="4" s="1"/>
  <c r="S89" i="4"/>
  <c r="W89" i="4" s="1"/>
  <c r="P89" i="4"/>
  <c r="T89" i="4" s="1"/>
  <c r="Q90" i="4" l="1"/>
  <c r="U90" i="4" s="1"/>
  <c r="P90" i="4"/>
  <c r="T90" i="4" s="1"/>
  <c r="S90" i="4"/>
  <c r="W90" i="4" s="1"/>
  <c r="R90" i="4"/>
  <c r="V90" i="4" s="1"/>
  <c r="M91" i="4"/>
  <c r="O91" i="4" s="1"/>
  <c r="N92" i="4"/>
  <c r="P91" i="4" l="1"/>
  <c r="T91" i="4" s="1"/>
  <c r="S91" i="4"/>
  <c r="W91" i="4" s="1"/>
  <c r="Q91" i="4"/>
  <c r="U91" i="4" s="1"/>
  <c r="R91" i="4"/>
  <c r="V91" i="4" s="1"/>
  <c r="M92" i="4"/>
  <c r="O92" i="4" s="1"/>
  <c r="N93" i="4"/>
  <c r="M93" i="4" l="1"/>
  <c r="O93" i="4" s="1"/>
  <c r="N94" i="4"/>
  <c r="P92" i="4"/>
  <c r="T92" i="4" s="1"/>
  <c r="Q92" i="4"/>
  <c r="U92" i="4" s="1"/>
  <c r="S92" i="4"/>
  <c r="W92" i="4" s="1"/>
  <c r="R92" i="4"/>
  <c r="V92" i="4" s="1"/>
  <c r="M94" i="4" l="1"/>
  <c r="O94" i="4" s="1"/>
  <c r="N95" i="4"/>
  <c r="P93" i="4"/>
  <c r="T93" i="4" s="1"/>
  <c r="Q93" i="4"/>
  <c r="U93" i="4" s="1"/>
  <c r="S93" i="4"/>
  <c r="W93" i="4" s="1"/>
  <c r="R93" i="4"/>
  <c r="V93" i="4" s="1"/>
  <c r="M95" i="4" l="1"/>
  <c r="O95" i="4" s="1"/>
  <c r="N96" i="4"/>
  <c r="P94" i="4"/>
  <c r="T94" i="4" s="1"/>
  <c r="R94" i="4"/>
  <c r="V94" i="4" s="1"/>
  <c r="S94" i="4"/>
  <c r="W94" i="4" s="1"/>
  <c r="Q94" i="4"/>
  <c r="U94" i="4" s="1"/>
  <c r="M96" i="4" l="1"/>
  <c r="O96" i="4" s="1"/>
  <c r="N97" i="4"/>
  <c r="R95" i="4"/>
  <c r="V95" i="4" s="1"/>
  <c r="Q95" i="4"/>
  <c r="U95" i="4" s="1"/>
  <c r="P95" i="4"/>
  <c r="T95" i="4" s="1"/>
  <c r="S95" i="4"/>
  <c r="W95" i="4" s="1"/>
  <c r="M97" i="4" l="1"/>
  <c r="O97" i="4" s="1"/>
  <c r="N98" i="4"/>
  <c r="Q96" i="4"/>
  <c r="U96" i="4" s="1"/>
  <c r="R96" i="4"/>
  <c r="V96" i="4" s="1"/>
  <c r="P96" i="4"/>
  <c r="T96" i="4" s="1"/>
  <c r="S96" i="4"/>
  <c r="W96" i="4" s="1"/>
  <c r="M98" i="4" l="1"/>
  <c r="O98" i="4" s="1"/>
  <c r="N99" i="4"/>
  <c r="P97" i="4"/>
  <c r="T97" i="4" s="1"/>
  <c r="R97" i="4"/>
  <c r="V97" i="4" s="1"/>
  <c r="Q97" i="4"/>
  <c r="U97" i="4" s="1"/>
  <c r="S97" i="4"/>
  <c r="W97" i="4" s="1"/>
  <c r="N100" i="4" l="1"/>
  <c r="M99" i="4"/>
  <c r="O99" i="4" s="1"/>
  <c r="Q98" i="4"/>
  <c r="U98" i="4" s="1"/>
  <c r="P98" i="4"/>
  <c r="T98" i="4" s="1"/>
  <c r="R98" i="4"/>
  <c r="V98" i="4" s="1"/>
  <c r="S98" i="4"/>
  <c r="W98" i="4" s="1"/>
  <c r="Q99" i="4" l="1"/>
  <c r="U99" i="4" s="1"/>
  <c r="P99" i="4"/>
  <c r="T99" i="4" s="1"/>
  <c r="R99" i="4"/>
  <c r="V99" i="4" s="1"/>
  <c r="S99" i="4"/>
  <c r="W99" i="4" s="1"/>
  <c r="M100" i="4"/>
  <c r="O100" i="4" s="1"/>
  <c r="N101" i="4"/>
  <c r="M101" i="4" l="1"/>
  <c r="O101" i="4" s="1"/>
  <c r="N102" i="4"/>
  <c r="P100" i="4"/>
  <c r="T100" i="4" s="1"/>
  <c r="Q100" i="4"/>
  <c r="U100" i="4" s="1"/>
  <c r="R100" i="4"/>
  <c r="V100" i="4" s="1"/>
  <c r="S100" i="4"/>
  <c r="W100" i="4" s="1"/>
  <c r="M102" i="4" l="1"/>
  <c r="O102" i="4" s="1"/>
  <c r="N103" i="4"/>
  <c r="R101" i="4"/>
  <c r="V101" i="4" s="1"/>
  <c r="P101" i="4"/>
  <c r="T101" i="4" s="1"/>
  <c r="S101" i="4"/>
  <c r="W101" i="4" s="1"/>
  <c r="Q101" i="4"/>
  <c r="U101" i="4" s="1"/>
  <c r="M103" i="4" l="1"/>
  <c r="O103" i="4" s="1"/>
  <c r="N104" i="4"/>
  <c r="Q102" i="4"/>
  <c r="U102" i="4" s="1"/>
  <c r="S102" i="4"/>
  <c r="W102" i="4" s="1"/>
  <c r="R102" i="4"/>
  <c r="V102" i="4" s="1"/>
  <c r="P102" i="4"/>
  <c r="T102" i="4" s="1"/>
  <c r="M104" i="4" l="1"/>
  <c r="O104" i="4" s="1"/>
  <c r="N105" i="4"/>
  <c r="P103" i="4"/>
  <c r="T103" i="4" s="1"/>
  <c r="S103" i="4"/>
  <c r="W103" i="4" s="1"/>
  <c r="R103" i="4"/>
  <c r="V103" i="4" s="1"/>
  <c r="Q103" i="4"/>
  <c r="U103" i="4" s="1"/>
  <c r="M105" i="4" l="1"/>
  <c r="O105" i="4" s="1"/>
  <c r="N106" i="4"/>
  <c r="P104" i="4"/>
  <c r="T104" i="4" s="1"/>
  <c r="S104" i="4"/>
  <c r="W104" i="4" s="1"/>
  <c r="R104" i="4"/>
  <c r="V104" i="4" s="1"/>
  <c r="Q104" i="4"/>
  <c r="U104" i="4" s="1"/>
  <c r="M106" i="4" l="1"/>
  <c r="O106" i="4" s="1"/>
  <c r="N107" i="4"/>
  <c r="Q105" i="4"/>
  <c r="U105" i="4" s="1"/>
  <c r="S105" i="4"/>
  <c r="W105" i="4" s="1"/>
  <c r="R105" i="4"/>
  <c r="V105" i="4" s="1"/>
  <c r="P105" i="4"/>
  <c r="T105" i="4" s="1"/>
  <c r="M107" i="4" l="1"/>
  <c r="O107" i="4" s="1"/>
  <c r="N108" i="4"/>
  <c r="S106" i="4"/>
  <c r="W106" i="4" s="1"/>
  <c r="R106" i="4"/>
  <c r="V106" i="4" s="1"/>
  <c r="Q106" i="4"/>
  <c r="U106" i="4" s="1"/>
  <c r="P106" i="4"/>
  <c r="T106" i="4" s="1"/>
  <c r="M108" i="4" l="1"/>
  <c r="O108" i="4" s="1"/>
  <c r="N109" i="4"/>
  <c r="Q107" i="4"/>
  <c r="U107" i="4" s="1"/>
  <c r="P107" i="4"/>
  <c r="T107" i="4" s="1"/>
  <c r="S107" i="4"/>
  <c r="W107" i="4" s="1"/>
  <c r="R107" i="4"/>
  <c r="V107" i="4" s="1"/>
  <c r="M109" i="4" l="1"/>
  <c r="O109" i="4" s="1"/>
  <c r="N110" i="4"/>
  <c r="P108" i="4"/>
  <c r="T108" i="4" s="1"/>
  <c r="S108" i="4"/>
  <c r="W108" i="4" s="1"/>
  <c r="R108" i="4"/>
  <c r="V108" i="4" s="1"/>
  <c r="Q108" i="4"/>
  <c r="U108" i="4" s="1"/>
  <c r="M110" i="4" l="1"/>
  <c r="O110" i="4" s="1"/>
  <c r="N111" i="4"/>
  <c r="R109" i="4"/>
  <c r="V109" i="4" s="1"/>
  <c r="S109" i="4"/>
  <c r="W109" i="4" s="1"/>
  <c r="P109" i="4"/>
  <c r="T109" i="4" s="1"/>
  <c r="Q109" i="4"/>
  <c r="U109" i="4" s="1"/>
  <c r="M111" i="4" l="1"/>
  <c r="O111" i="4" s="1"/>
  <c r="N112" i="4"/>
  <c r="P110" i="4"/>
  <c r="T110" i="4" s="1"/>
  <c r="Q110" i="4"/>
  <c r="U110" i="4" s="1"/>
  <c r="S110" i="4"/>
  <c r="W110" i="4" s="1"/>
  <c r="R110" i="4"/>
  <c r="V110" i="4" s="1"/>
  <c r="M112" i="4" l="1"/>
  <c r="O112" i="4" s="1"/>
  <c r="N113" i="4"/>
  <c r="S111" i="4"/>
  <c r="W111" i="4" s="1"/>
  <c r="Q111" i="4"/>
  <c r="U111" i="4" s="1"/>
  <c r="P111" i="4"/>
  <c r="T111" i="4" s="1"/>
  <c r="R111" i="4"/>
  <c r="V111" i="4" s="1"/>
  <c r="M113" i="4" l="1"/>
  <c r="O113" i="4" s="1"/>
  <c r="N114" i="4"/>
  <c r="Q112" i="4"/>
  <c r="U112" i="4" s="1"/>
  <c r="P112" i="4"/>
  <c r="T112" i="4" s="1"/>
  <c r="S112" i="4"/>
  <c r="W112" i="4" s="1"/>
  <c r="R112" i="4"/>
  <c r="V112" i="4" s="1"/>
  <c r="N115" i="4" l="1"/>
  <c r="M114" i="4"/>
  <c r="O114" i="4" s="1"/>
  <c r="R113" i="4"/>
  <c r="V113" i="4" s="1"/>
  <c r="S113" i="4"/>
  <c r="W113" i="4" s="1"/>
  <c r="P113" i="4"/>
  <c r="T113" i="4" s="1"/>
  <c r="Q113" i="4"/>
  <c r="U113" i="4" s="1"/>
  <c r="P114" i="4" l="1"/>
  <c r="T114" i="4" s="1"/>
  <c r="S114" i="4"/>
  <c r="W114" i="4" s="1"/>
  <c r="R114" i="4"/>
  <c r="V114" i="4" s="1"/>
  <c r="Q114" i="4"/>
  <c r="U114" i="4" s="1"/>
  <c r="N116" i="4"/>
  <c r="M115" i="4"/>
  <c r="O115" i="4" s="1"/>
  <c r="Q115" i="4" l="1"/>
  <c r="U115" i="4" s="1"/>
  <c r="S115" i="4"/>
  <c r="W115" i="4" s="1"/>
  <c r="P115" i="4"/>
  <c r="T115" i="4" s="1"/>
  <c r="R115" i="4"/>
  <c r="V115" i="4" s="1"/>
  <c r="N117" i="4"/>
  <c r="M116" i="4"/>
  <c r="O116" i="4" s="1"/>
  <c r="P116" i="4" l="1"/>
  <c r="T116" i="4" s="1"/>
  <c r="Q116" i="4"/>
  <c r="U116" i="4" s="1"/>
  <c r="S116" i="4"/>
  <c r="W116" i="4" s="1"/>
  <c r="R116" i="4"/>
  <c r="V116" i="4" s="1"/>
  <c r="M117" i="4"/>
  <c r="O117" i="4" s="1"/>
  <c r="N118" i="4"/>
  <c r="N119" i="4" l="1"/>
  <c r="M118" i="4"/>
  <c r="O118" i="4" s="1"/>
  <c r="P117" i="4"/>
  <c r="T117" i="4" s="1"/>
  <c r="R117" i="4"/>
  <c r="V117" i="4" s="1"/>
  <c r="Q117" i="4"/>
  <c r="U117" i="4" s="1"/>
  <c r="S117" i="4"/>
  <c r="W117" i="4" s="1"/>
  <c r="Q118" i="4" l="1"/>
  <c r="U118" i="4" s="1"/>
  <c r="P118" i="4"/>
  <c r="T118" i="4" s="1"/>
  <c r="R118" i="4"/>
  <c r="V118" i="4" s="1"/>
  <c r="S118" i="4"/>
  <c r="W118" i="4" s="1"/>
  <c r="M119" i="4"/>
  <c r="O119" i="4" s="1"/>
  <c r="N120" i="4"/>
  <c r="M120" i="4" l="1"/>
  <c r="O120" i="4" s="1"/>
  <c r="N121" i="4"/>
  <c r="P119" i="4"/>
  <c r="T119" i="4" s="1"/>
  <c r="S119" i="4"/>
  <c r="W119" i="4" s="1"/>
  <c r="R119" i="4"/>
  <c r="V119" i="4" s="1"/>
  <c r="Q119" i="4"/>
  <c r="U119" i="4" s="1"/>
  <c r="M121" i="4" l="1"/>
  <c r="O121" i="4" s="1"/>
  <c r="N122" i="4"/>
  <c r="Q120" i="4"/>
  <c r="U120" i="4" s="1"/>
  <c r="S120" i="4"/>
  <c r="W120" i="4" s="1"/>
  <c r="R120" i="4"/>
  <c r="V120" i="4" s="1"/>
  <c r="P120" i="4"/>
  <c r="T120" i="4" s="1"/>
  <c r="N123" i="4" l="1"/>
  <c r="M122" i="4"/>
  <c r="O122" i="4" s="1"/>
  <c r="R121" i="4"/>
  <c r="V121" i="4" s="1"/>
  <c r="Q121" i="4"/>
  <c r="U121" i="4" s="1"/>
  <c r="P121" i="4"/>
  <c r="T121" i="4" s="1"/>
  <c r="S121" i="4"/>
  <c r="W121" i="4" s="1"/>
  <c r="Q122" i="4" l="1"/>
  <c r="U122" i="4" s="1"/>
  <c r="S122" i="4"/>
  <c r="W122" i="4" s="1"/>
  <c r="P122" i="4"/>
  <c r="T122" i="4" s="1"/>
  <c r="R122" i="4"/>
  <c r="V122" i="4" s="1"/>
  <c r="N124" i="4"/>
  <c r="M123" i="4"/>
  <c r="O123" i="4" s="1"/>
  <c r="P123" i="4" l="1"/>
  <c r="T123" i="4" s="1"/>
  <c r="Q123" i="4"/>
  <c r="U123" i="4" s="1"/>
  <c r="S123" i="4"/>
  <c r="W123" i="4" s="1"/>
  <c r="R123" i="4"/>
  <c r="V123" i="4" s="1"/>
  <c r="N125" i="4"/>
  <c r="M124" i="4"/>
  <c r="O124" i="4" s="1"/>
  <c r="Q124" i="4" l="1"/>
  <c r="U124" i="4" s="1"/>
  <c r="P124" i="4"/>
  <c r="T124" i="4" s="1"/>
  <c r="S124" i="4"/>
  <c r="W124" i="4" s="1"/>
  <c r="R124" i="4"/>
  <c r="V124" i="4" s="1"/>
  <c r="M125" i="4"/>
  <c r="O125" i="4" s="1"/>
  <c r="N126" i="4"/>
  <c r="M126" i="4" l="1"/>
  <c r="O126" i="4" s="1"/>
  <c r="N127" i="4"/>
  <c r="R125" i="4"/>
  <c r="V125" i="4" s="1"/>
  <c r="Q125" i="4"/>
  <c r="U125" i="4" s="1"/>
  <c r="S125" i="4"/>
  <c r="W125" i="4" s="1"/>
  <c r="P125" i="4"/>
  <c r="T125" i="4" s="1"/>
  <c r="M127" i="4" l="1"/>
  <c r="O127" i="4" s="1"/>
  <c r="N128" i="4"/>
  <c r="Q126" i="4"/>
  <c r="U126" i="4" s="1"/>
  <c r="P126" i="4"/>
  <c r="T126" i="4" s="1"/>
  <c r="R126" i="4"/>
  <c r="V126" i="4" s="1"/>
  <c r="S126" i="4"/>
  <c r="W126" i="4" s="1"/>
  <c r="M128" i="4" l="1"/>
  <c r="O128" i="4" s="1"/>
  <c r="N129" i="4"/>
  <c r="Q127" i="4"/>
  <c r="U127" i="4" s="1"/>
  <c r="P127" i="4"/>
  <c r="T127" i="4" s="1"/>
  <c r="R127" i="4"/>
  <c r="V127" i="4" s="1"/>
  <c r="S127" i="4"/>
  <c r="W127" i="4" s="1"/>
  <c r="M129" i="4" l="1"/>
  <c r="O129" i="4" s="1"/>
  <c r="N130" i="4"/>
  <c r="P128" i="4"/>
  <c r="T128" i="4" s="1"/>
  <c r="Q128" i="4"/>
  <c r="U128" i="4" s="1"/>
  <c r="R128" i="4"/>
  <c r="V128" i="4" s="1"/>
  <c r="S128" i="4"/>
  <c r="W128" i="4" s="1"/>
  <c r="N131" i="4" l="1"/>
  <c r="M130" i="4"/>
  <c r="O130" i="4" s="1"/>
  <c r="R129" i="4"/>
  <c r="V129" i="4" s="1"/>
  <c r="Q129" i="4"/>
  <c r="U129" i="4" s="1"/>
  <c r="P129" i="4"/>
  <c r="T129" i="4" s="1"/>
  <c r="S129" i="4"/>
  <c r="W129" i="4" s="1"/>
  <c r="Q130" i="4" l="1"/>
  <c r="U130" i="4" s="1"/>
  <c r="S130" i="4"/>
  <c r="W130" i="4" s="1"/>
  <c r="P130" i="4"/>
  <c r="T130" i="4" s="1"/>
  <c r="R130" i="4"/>
  <c r="V130" i="4" s="1"/>
  <c r="N132" i="4"/>
  <c r="M131" i="4"/>
  <c r="O131" i="4" s="1"/>
  <c r="P131" i="4" l="1"/>
  <c r="T131" i="4" s="1"/>
  <c r="S131" i="4"/>
  <c r="W131" i="4" s="1"/>
  <c r="Q131" i="4"/>
  <c r="U131" i="4" s="1"/>
  <c r="R131" i="4"/>
  <c r="V131" i="4" s="1"/>
  <c r="N133" i="4"/>
  <c r="M132" i="4"/>
  <c r="O132" i="4" s="1"/>
  <c r="R132" i="4" l="1"/>
  <c r="V132" i="4" s="1"/>
  <c r="Q132" i="4"/>
  <c r="U132" i="4" s="1"/>
  <c r="S132" i="4"/>
  <c r="W132" i="4" s="1"/>
  <c r="P132" i="4"/>
  <c r="T132" i="4" s="1"/>
  <c r="M133" i="4"/>
  <c r="O133" i="4" s="1"/>
  <c r="N134" i="4"/>
  <c r="M134" i="4" l="1"/>
  <c r="O134" i="4" s="1"/>
  <c r="N135" i="4"/>
  <c r="Q133" i="4"/>
  <c r="U133" i="4" s="1"/>
  <c r="P133" i="4"/>
  <c r="T133" i="4" s="1"/>
  <c r="R133" i="4"/>
  <c r="V133" i="4" s="1"/>
  <c r="S133" i="4"/>
  <c r="W133" i="4" s="1"/>
  <c r="M135" i="4" l="1"/>
  <c r="O135" i="4" s="1"/>
  <c r="N136" i="4"/>
  <c r="P134" i="4"/>
  <c r="T134" i="4" s="1"/>
  <c r="Q134" i="4"/>
  <c r="U134" i="4" s="1"/>
  <c r="S134" i="4"/>
  <c r="W134" i="4" s="1"/>
  <c r="R134" i="4"/>
  <c r="V134" i="4" s="1"/>
  <c r="M136" i="4" l="1"/>
  <c r="O136" i="4" s="1"/>
  <c r="N137" i="4"/>
  <c r="Q135" i="4"/>
  <c r="U135" i="4" s="1"/>
  <c r="S135" i="4"/>
  <c r="W135" i="4" s="1"/>
  <c r="R135" i="4"/>
  <c r="V135" i="4" s="1"/>
  <c r="P135" i="4"/>
  <c r="T135" i="4" s="1"/>
  <c r="M137" i="4" l="1"/>
  <c r="O137" i="4" s="1"/>
  <c r="N138" i="4"/>
  <c r="S136" i="4"/>
  <c r="W136" i="4" s="1"/>
  <c r="P136" i="4"/>
  <c r="T136" i="4" s="1"/>
  <c r="Q136" i="4"/>
  <c r="U136" i="4" s="1"/>
  <c r="R136" i="4"/>
  <c r="V136" i="4" s="1"/>
  <c r="N139" i="4" l="1"/>
  <c r="M138" i="4"/>
  <c r="O138" i="4" s="1"/>
  <c r="P137" i="4"/>
  <c r="T137" i="4" s="1"/>
  <c r="R137" i="4"/>
  <c r="V137" i="4" s="1"/>
  <c r="Q137" i="4"/>
  <c r="U137" i="4" s="1"/>
  <c r="S137" i="4"/>
  <c r="W137" i="4" s="1"/>
  <c r="S138" i="4" l="1"/>
  <c r="W138" i="4" s="1"/>
  <c r="Q138" i="4"/>
  <c r="U138" i="4" s="1"/>
  <c r="R138" i="4"/>
  <c r="V138" i="4" s="1"/>
  <c r="P138" i="4"/>
  <c r="T138" i="4" s="1"/>
  <c r="M139" i="4"/>
  <c r="O139" i="4" s="1"/>
  <c r="N140" i="4"/>
  <c r="N141" i="4" l="1"/>
  <c r="M140" i="4"/>
  <c r="O140" i="4" s="1"/>
  <c r="P139" i="4"/>
  <c r="T139" i="4" s="1"/>
  <c r="Q139" i="4"/>
  <c r="U139" i="4" s="1"/>
  <c r="R139" i="4"/>
  <c r="V139" i="4" s="1"/>
  <c r="S139" i="4"/>
  <c r="W139" i="4" s="1"/>
  <c r="P140" i="4" l="1"/>
  <c r="T140" i="4" s="1"/>
  <c r="Q140" i="4"/>
  <c r="U140" i="4" s="1"/>
  <c r="R140" i="4"/>
  <c r="V140" i="4" s="1"/>
  <c r="S140" i="4"/>
  <c r="W140" i="4" s="1"/>
  <c r="M141" i="4"/>
  <c r="O141" i="4" s="1"/>
  <c r="N142" i="4"/>
  <c r="M142" i="4" l="1"/>
  <c r="O142" i="4" s="1"/>
  <c r="N143" i="4"/>
  <c r="R141" i="4"/>
  <c r="V141" i="4" s="1"/>
  <c r="S141" i="4"/>
  <c r="W141" i="4" s="1"/>
  <c r="Q141" i="4"/>
  <c r="U141" i="4" s="1"/>
  <c r="P141" i="4"/>
  <c r="T141" i="4" s="1"/>
  <c r="M143" i="4" l="1"/>
  <c r="O143" i="4" s="1"/>
  <c r="N144" i="4"/>
  <c r="P142" i="4"/>
  <c r="T142" i="4" s="1"/>
  <c r="R142" i="4"/>
  <c r="V142" i="4" s="1"/>
  <c r="Q142" i="4"/>
  <c r="U142" i="4" s="1"/>
  <c r="S142" i="4"/>
  <c r="W142" i="4" s="1"/>
  <c r="M144" i="4" l="1"/>
  <c r="O144" i="4" s="1"/>
  <c r="N145" i="4"/>
  <c r="P143" i="4"/>
  <c r="T143" i="4" s="1"/>
  <c r="Q143" i="4"/>
  <c r="U143" i="4" s="1"/>
  <c r="S143" i="4"/>
  <c r="W143" i="4" s="1"/>
  <c r="R143" i="4"/>
  <c r="V143" i="4" s="1"/>
  <c r="M145" i="4" l="1"/>
  <c r="O145" i="4" s="1"/>
  <c r="N146" i="4"/>
  <c r="Q144" i="4"/>
  <c r="U144" i="4" s="1"/>
  <c r="S144" i="4"/>
  <c r="W144" i="4" s="1"/>
  <c r="P144" i="4"/>
  <c r="T144" i="4" s="1"/>
  <c r="R144" i="4"/>
  <c r="V144" i="4" s="1"/>
  <c r="N147" i="4" l="1"/>
  <c r="M146" i="4"/>
  <c r="O146" i="4" s="1"/>
  <c r="R145" i="4"/>
  <c r="V145" i="4" s="1"/>
  <c r="P145" i="4"/>
  <c r="T145" i="4" s="1"/>
  <c r="Q145" i="4"/>
  <c r="U145" i="4" s="1"/>
  <c r="S145" i="4"/>
  <c r="W145" i="4" s="1"/>
  <c r="P146" i="4" l="1"/>
  <c r="T146" i="4" s="1"/>
  <c r="S146" i="4"/>
  <c r="W146" i="4" s="1"/>
  <c r="Q146" i="4"/>
  <c r="U146" i="4" s="1"/>
  <c r="R146" i="4"/>
  <c r="V146" i="4" s="1"/>
  <c r="N148" i="4"/>
  <c r="M147" i="4"/>
  <c r="O147" i="4" s="1"/>
  <c r="P147" i="4" l="1"/>
  <c r="T147" i="4" s="1"/>
  <c r="R147" i="4"/>
  <c r="V147" i="4" s="1"/>
  <c r="Q147" i="4"/>
  <c r="U147" i="4" s="1"/>
  <c r="S147" i="4"/>
  <c r="W147" i="4" s="1"/>
  <c r="N149" i="4"/>
  <c r="M148" i="4"/>
  <c r="O148" i="4" s="1"/>
  <c r="P148" i="4" l="1"/>
  <c r="T148" i="4" s="1"/>
  <c r="R148" i="4"/>
  <c r="V148" i="4" s="1"/>
  <c r="S148" i="4"/>
  <c r="W148" i="4" s="1"/>
  <c r="Q148" i="4"/>
  <c r="U148" i="4" s="1"/>
  <c r="M149" i="4"/>
  <c r="O149" i="4" s="1"/>
  <c r="N150" i="4"/>
  <c r="M150" i="4" l="1"/>
  <c r="O150" i="4" s="1"/>
  <c r="N151" i="4"/>
  <c r="Q149" i="4"/>
  <c r="U149" i="4" s="1"/>
  <c r="R149" i="4"/>
  <c r="V149" i="4" s="1"/>
  <c r="P149" i="4"/>
  <c r="T149" i="4" s="1"/>
  <c r="S149" i="4"/>
  <c r="W149" i="4" s="1"/>
  <c r="M151" i="4" l="1"/>
  <c r="O151" i="4" s="1"/>
  <c r="N152" i="4"/>
  <c r="Q150" i="4"/>
  <c r="U150" i="4" s="1"/>
  <c r="P150" i="4"/>
  <c r="T150" i="4" s="1"/>
  <c r="S150" i="4"/>
  <c r="W150" i="4" s="1"/>
  <c r="R150" i="4"/>
  <c r="V150" i="4" s="1"/>
  <c r="N153" i="4" l="1"/>
  <c r="M152" i="4"/>
  <c r="O152" i="4" s="1"/>
  <c r="P151" i="4"/>
  <c r="T151" i="4" s="1"/>
  <c r="R151" i="4"/>
  <c r="V151" i="4" s="1"/>
  <c r="Q151" i="4"/>
  <c r="U151" i="4" s="1"/>
  <c r="S151" i="4"/>
  <c r="W151" i="4" s="1"/>
  <c r="Q152" i="4" l="1"/>
  <c r="U152" i="4" s="1"/>
  <c r="S152" i="4"/>
  <c r="W152" i="4" s="1"/>
  <c r="P152" i="4"/>
  <c r="T152" i="4" s="1"/>
  <c r="R152" i="4"/>
  <c r="V152" i="4" s="1"/>
  <c r="N154" i="4"/>
  <c r="M153" i="4"/>
  <c r="O153" i="4" s="1"/>
  <c r="S153" i="4" l="1"/>
  <c r="W153" i="4" s="1"/>
  <c r="R153" i="4"/>
  <c r="V153" i="4" s="1"/>
  <c r="P153" i="4"/>
  <c r="T153" i="4" s="1"/>
  <c r="Q153" i="4"/>
  <c r="U153" i="4" s="1"/>
  <c r="N155" i="4"/>
  <c r="M154" i="4"/>
  <c r="O154" i="4" s="1"/>
  <c r="S154" i="4" l="1"/>
  <c r="W154" i="4" s="1"/>
  <c r="R154" i="4"/>
  <c r="V154" i="4" s="1"/>
  <c r="Q154" i="4"/>
  <c r="U154" i="4" s="1"/>
  <c r="P154" i="4"/>
  <c r="T154" i="4" s="1"/>
  <c r="M155" i="4"/>
  <c r="O155" i="4" s="1"/>
  <c r="N156" i="4"/>
  <c r="P155" i="4" l="1"/>
  <c r="T155" i="4" s="1"/>
  <c r="S155" i="4"/>
  <c r="W155" i="4" s="1"/>
  <c r="R155" i="4"/>
  <c r="V155" i="4" s="1"/>
  <c r="Q155" i="4"/>
  <c r="U155" i="4" s="1"/>
  <c r="N157" i="4"/>
  <c r="M156" i="4"/>
  <c r="O156" i="4" s="1"/>
  <c r="P156" i="4" l="1"/>
  <c r="T156" i="4" s="1"/>
  <c r="Q156" i="4"/>
  <c r="U156" i="4" s="1"/>
  <c r="R156" i="4"/>
  <c r="V156" i="4" s="1"/>
  <c r="S156" i="4"/>
  <c r="W156" i="4" s="1"/>
  <c r="M157" i="4"/>
  <c r="O157" i="4" s="1"/>
  <c r="N158" i="4"/>
  <c r="M158" i="4" l="1"/>
  <c r="O158" i="4" s="1"/>
  <c r="N159" i="4"/>
  <c r="Q157" i="4"/>
  <c r="U157" i="4" s="1"/>
  <c r="P157" i="4"/>
  <c r="T157" i="4" s="1"/>
  <c r="R157" i="4"/>
  <c r="V157" i="4" s="1"/>
  <c r="S157" i="4"/>
  <c r="W157" i="4" s="1"/>
  <c r="M159" i="4" l="1"/>
  <c r="O159" i="4" s="1"/>
  <c r="N160" i="4"/>
  <c r="Q158" i="4"/>
  <c r="U158" i="4" s="1"/>
  <c r="S158" i="4"/>
  <c r="W158" i="4" s="1"/>
  <c r="P158" i="4"/>
  <c r="T158" i="4" s="1"/>
  <c r="R158" i="4"/>
  <c r="V158" i="4" s="1"/>
  <c r="M160" i="4" l="1"/>
  <c r="O160" i="4" s="1"/>
  <c r="N161" i="4"/>
  <c r="Q159" i="4"/>
  <c r="U159" i="4" s="1"/>
  <c r="R159" i="4"/>
  <c r="V159" i="4" s="1"/>
  <c r="S159" i="4"/>
  <c r="W159" i="4" s="1"/>
  <c r="P159" i="4"/>
  <c r="T159" i="4" s="1"/>
  <c r="N162" i="4" l="1"/>
  <c r="M161" i="4"/>
  <c r="O161" i="4" s="1"/>
  <c r="P160" i="4"/>
  <c r="T160" i="4" s="1"/>
  <c r="Q160" i="4"/>
  <c r="U160" i="4" s="1"/>
  <c r="R160" i="4"/>
  <c r="V160" i="4" s="1"/>
  <c r="S160" i="4"/>
  <c r="W160" i="4" s="1"/>
  <c r="P161" i="4" l="1"/>
  <c r="T161" i="4" s="1"/>
  <c r="Q161" i="4"/>
  <c r="U161" i="4" s="1"/>
  <c r="R161" i="4"/>
  <c r="V161" i="4" s="1"/>
  <c r="S161" i="4"/>
  <c r="W161" i="4" s="1"/>
  <c r="N163" i="4"/>
  <c r="M162" i="4"/>
  <c r="O162" i="4" s="1"/>
  <c r="Q162" i="4" l="1"/>
  <c r="U162" i="4" s="1"/>
  <c r="P162" i="4"/>
  <c r="T162" i="4" s="1"/>
  <c r="R162" i="4"/>
  <c r="V162" i="4" s="1"/>
  <c r="S162" i="4"/>
  <c r="W162" i="4" s="1"/>
  <c r="N164" i="4"/>
  <c r="M163" i="4"/>
  <c r="O163" i="4" s="1"/>
  <c r="Q163" i="4" l="1"/>
  <c r="U163" i="4" s="1"/>
  <c r="R163" i="4"/>
  <c r="V163" i="4" s="1"/>
  <c r="S163" i="4"/>
  <c r="W163" i="4" s="1"/>
  <c r="P163" i="4"/>
  <c r="T163" i="4" s="1"/>
  <c r="M164" i="4"/>
  <c r="O164" i="4" s="1"/>
  <c r="N165" i="4"/>
  <c r="M165" i="4" l="1"/>
  <c r="O165" i="4" s="1"/>
  <c r="N166" i="4"/>
  <c r="P164" i="4"/>
  <c r="T164" i="4" s="1"/>
  <c r="R164" i="4"/>
  <c r="V164" i="4" s="1"/>
  <c r="S164" i="4"/>
  <c r="W164" i="4" s="1"/>
  <c r="Q164" i="4"/>
  <c r="U164" i="4" s="1"/>
  <c r="M166" i="4" l="1"/>
  <c r="O166" i="4" s="1"/>
  <c r="N167" i="4"/>
  <c r="R165" i="4"/>
  <c r="V165" i="4" s="1"/>
  <c r="S165" i="4"/>
  <c r="W165" i="4" s="1"/>
  <c r="P165" i="4"/>
  <c r="T165" i="4" s="1"/>
  <c r="Q165" i="4"/>
  <c r="U165" i="4" s="1"/>
  <c r="M167" i="4" l="1"/>
  <c r="O167" i="4" s="1"/>
  <c r="N168" i="4"/>
  <c r="P166" i="4"/>
  <c r="T166" i="4" s="1"/>
  <c r="R166" i="4"/>
  <c r="V166" i="4" s="1"/>
  <c r="S166" i="4"/>
  <c r="W166" i="4" s="1"/>
  <c r="Q166" i="4"/>
  <c r="U166" i="4" s="1"/>
  <c r="N169" i="4" l="1"/>
  <c r="M168" i="4"/>
  <c r="O168" i="4" s="1"/>
  <c r="Q167" i="4"/>
  <c r="U167" i="4" s="1"/>
  <c r="P167" i="4"/>
  <c r="T167" i="4" s="1"/>
  <c r="R167" i="4"/>
  <c r="V167" i="4" s="1"/>
  <c r="S167" i="4"/>
  <c r="W167" i="4" s="1"/>
  <c r="Q168" i="4" l="1"/>
  <c r="U168" i="4" s="1"/>
  <c r="P168" i="4"/>
  <c r="T168" i="4" s="1"/>
  <c r="S168" i="4"/>
  <c r="W168" i="4" s="1"/>
  <c r="R168" i="4"/>
  <c r="V168" i="4" s="1"/>
  <c r="M169" i="4"/>
  <c r="O169" i="4" s="1"/>
  <c r="N170" i="4"/>
  <c r="M170" i="4" l="1"/>
  <c r="O170" i="4" s="1"/>
  <c r="N171" i="4"/>
  <c r="P169" i="4"/>
  <c r="T169" i="4" s="1"/>
  <c r="R169" i="4"/>
  <c r="V169" i="4" s="1"/>
  <c r="Q169" i="4"/>
  <c r="U169" i="4" s="1"/>
  <c r="S169" i="4"/>
  <c r="W169" i="4" s="1"/>
  <c r="N172" i="4" l="1"/>
  <c r="M171" i="4"/>
  <c r="O171" i="4" s="1"/>
  <c r="Q170" i="4"/>
  <c r="U170" i="4" s="1"/>
  <c r="P170" i="4"/>
  <c r="T170" i="4" s="1"/>
  <c r="R170" i="4"/>
  <c r="V170" i="4" s="1"/>
  <c r="S170" i="4"/>
  <c r="W170" i="4" s="1"/>
  <c r="Q171" i="4" l="1"/>
  <c r="U171" i="4" s="1"/>
  <c r="P171" i="4"/>
  <c r="T171" i="4" s="1"/>
  <c r="S171" i="4"/>
  <c r="W171" i="4" s="1"/>
  <c r="R171" i="4"/>
  <c r="V171" i="4" s="1"/>
  <c r="M172" i="4"/>
  <c r="O172" i="4" s="1"/>
  <c r="N173" i="4"/>
  <c r="M173" i="4" l="1"/>
  <c r="O173" i="4" s="1"/>
  <c r="N174" i="4"/>
  <c r="Q172" i="4"/>
  <c r="U172" i="4" s="1"/>
  <c r="R172" i="4"/>
  <c r="V172" i="4" s="1"/>
  <c r="S172" i="4"/>
  <c r="W172" i="4" s="1"/>
  <c r="P172" i="4"/>
  <c r="T172" i="4" s="1"/>
  <c r="M174" i="4" l="1"/>
  <c r="O174" i="4" s="1"/>
  <c r="N175" i="4"/>
  <c r="Q173" i="4"/>
  <c r="U173" i="4" s="1"/>
  <c r="P173" i="4"/>
  <c r="T173" i="4" s="1"/>
  <c r="R173" i="4"/>
  <c r="V173" i="4" s="1"/>
  <c r="S173" i="4"/>
  <c r="W173" i="4" s="1"/>
  <c r="M175" i="4" l="1"/>
  <c r="O175" i="4" s="1"/>
  <c r="N176" i="4"/>
  <c r="Q174" i="4"/>
  <c r="U174" i="4" s="1"/>
  <c r="P174" i="4"/>
  <c r="T174" i="4" s="1"/>
  <c r="S174" i="4"/>
  <c r="W174" i="4" s="1"/>
  <c r="R174" i="4"/>
  <c r="V174" i="4" s="1"/>
  <c r="M176" i="4" l="1"/>
  <c r="O176" i="4" s="1"/>
  <c r="N177" i="4"/>
  <c r="Q175" i="4"/>
  <c r="U175" i="4" s="1"/>
  <c r="S175" i="4"/>
  <c r="W175" i="4" s="1"/>
  <c r="R175" i="4"/>
  <c r="V175" i="4" s="1"/>
  <c r="P175" i="4"/>
  <c r="T175" i="4" s="1"/>
  <c r="M177" i="4" l="1"/>
  <c r="O177" i="4" s="1"/>
  <c r="N178" i="4"/>
  <c r="Q176" i="4"/>
  <c r="U176" i="4" s="1"/>
  <c r="R176" i="4"/>
  <c r="V176" i="4" s="1"/>
  <c r="S176" i="4"/>
  <c r="W176" i="4" s="1"/>
  <c r="P176" i="4"/>
  <c r="T176" i="4" s="1"/>
  <c r="N179" i="4" l="1"/>
  <c r="M178" i="4"/>
  <c r="O178" i="4" s="1"/>
  <c r="S177" i="4"/>
  <c r="W177" i="4" s="1"/>
  <c r="R177" i="4"/>
  <c r="V177" i="4" s="1"/>
  <c r="Q177" i="4"/>
  <c r="U177" i="4" s="1"/>
  <c r="P177" i="4"/>
  <c r="T177" i="4" s="1"/>
  <c r="Q178" i="4" l="1"/>
  <c r="U178" i="4" s="1"/>
  <c r="P178" i="4"/>
  <c r="T178" i="4" s="1"/>
  <c r="R178" i="4"/>
  <c r="V178" i="4" s="1"/>
  <c r="S178" i="4"/>
  <c r="W178" i="4" s="1"/>
  <c r="M179" i="4"/>
  <c r="O179" i="4" s="1"/>
  <c r="N180" i="4"/>
  <c r="N181" i="4" l="1"/>
  <c r="M180" i="4"/>
  <c r="O180" i="4" s="1"/>
  <c r="P179" i="4"/>
  <c r="T179" i="4" s="1"/>
  <c r="Q179" i="4"/>
  <c r="U179" i="4" s="1"/>
  <c r="R179" i="4"/>
  <c r="V179" i="4" s="1"/>
  <c r="S179" i="4"/>
  <c r="W179" i="4" s="1"/>
  <c r="S180" i="4" l="1"/>
  <c r="W180" i="4" s="1"/>
  <c r="Q180" i="4"/>
  <c r="U180" i="4" s="1"/>
  <c r="R180" i="4"/>
  <c r="V180" i="4" s="1"/>
  <c r="P180" i="4"/>
  <c r="T180" i="4" s="1"/>
  <c r="M181" i="4"/>
  <c r="O181" i="4" s="1"/>
  <c r="N182" i="4"/>
  <c r="N183" i="4" l="1"/>
  <c r="M182" i="4"/>
  <c r="O182" i="4" s="1"/>
  <c r="R181" i="4"/>
  <c r="V181" i="4" s="1"/>
  <c r="S181" i="4"/>
  <c r="W181" i="4" s="1"/>
  <c r="Q181" i="4"/>
  <c r="U181" i="4" s="1"/>
  <c r="P181" i="4"/>
  <c r="T181" i="4" s="1"/>
  <c r="Q182" i="4" l="1"/>
  <c r="U182" i="4" s="1"/>
  <c r="R182" i="4"/>
  <c r="V182" i="4" s="1"/>
  <c r="S182" i="4"/>
  <c r="W182" i="4" s="1"/>
  <c r="P182" i="4"/>
  <c r="T182" i="4" s="1"/>
  <c r="M183" i="4"/>
  <c r="O183" i="4" s="1"/>
  <c r="N184" i="4"/>
  <c r="N185" i="4" l="1"/>
  <c r="M184" i="4"/>
  <c r="O184" i="4" s="1"/>
  <c r="S183" i="4"/>
  <c r="W183" i="4" s="1"/>
  <c r="P183" i="4"/>
  <c r="T183" i="4" s="1"/>
  <c r="Q183" i="4"/>
  <c r="U183" i="4" s="1"/>
  <c r="R183" i="4"/>
  <c r="V183" i="4" s="1"/>
  <c r="P184" i="4" l="1"/>
  <c r="T184" i="4" s="1"/>
  <c r="R184" i="4"/>
  <c r="V184" i="4" s="1"/>
  <c r="S184" i="4"/>
  <c r="W184" i="4" s="1"/>
  <c r="Q184" i="4"/>
  <c r="U184" i="4" s="1"/>
  <c r="M185" i="4"/>
  <c r="O185" i="4" s="1"/>
  <c r="N186" i="4"/>
  <c r="M186" i="4" l="1"/>
  <c r="O186" i="4" s="1"/>
  <c r="N187" i="4"/>
  <c r="Q185" i="4"/>
  <c r="U185" i="4" s="1"/>
  <c r="P185" i="4"/>
  <c r="T185" i="4" s="1"/>
  <c r="S185" i="4"/>
  <c r="W185" i="4" s="1"/>
  <c r="R185" i="4"/>
  <c r="V185" i="4" s="1"/>
  <c r="N188" i="4" l="1"/>
  <c r="M187" i="4"/>
  <c r="O187" i="4" s="1"/>
  <c r="R186" i="4"/>
  <c r="V186" i="4" s="1"/>
  <c r="S186" i="4"/>
  <c r="W186" i="4" s="1"/>
  <c r="P186" i="4"/>
  <c r="T186" i="4" s="1"/>
  <c r="Q186" i="4"/>
  <c r="U186" i="4" s="1"/>
  <c r="S187" i="4" l="1"/>
  <c r="W187" i="4" s="1"/>
  <c r="Q187" i="4"/>
  <c r="U187" i="4" s="1"/>
  <c r="P187" i="4"/>
  <c r="T187" i="4" s="1"/>
  <c r="R187" i="4"/>
  <c r="V187" i="4" s="1"/>
  <c r="M188" i="4"/>
  <c r="O188" i="4" s="1"/>
  <c r="N189" i="4"/>
  <c r="M189" i="4" l="1"/>
  <c r="O189" i="4" s="1"/>
  <c r="N190" i="4"/>
  <c r="P188" i="4"/>
  <c r="T188" i="4" s="1"/>
  <c r="Q188" i="4"/>
  <c r="U188" i="4" s="1"/>
  <c r="R188" i="4"/>
  <c r="V188" i="4" s="1"/>
  <c r="S188" i="4"/>
  <c r="W188" i="4" s="1"/>
  <c r="M190" i="4" l="1"/>
  <c r="O190" i="4" s="1"/>
  <c r="N191" i="4"/>
  <c r="Q189" i="4"/>
  <c r="U189" i="4" s="1"/>
  <c r="S189" i="4"/>
  <c r="W189" i="4" s="1"/>
  <c r="R189" i="4"/>
  <c r="V189" i="4" s="1"/>
  <c r="P189" i="4"/>
  <c r="T189" i="4" s="1"/>
  <c r="N192" i="4" l="1"/>
  <c r="M191" i="4"/>
  <c r="O191" i="4" s="1"/>
  <c r="P190" i="4"/>
  <c r="T190" i="4" s="1"/>
  <c r="S190" i="4"/>
  <c r="W190" i="4" s="1"/>
  <c r="Q190" i="4"/>
  <c r="U190" i="4" s="1"/>
  <c r="R190" i="4"/>
  <c r="V190" i="4" s="1"/>
  <c r="Q191" i="4" l="1"/>
  <c r="U191" i="4" s="1"/>
  <c r="R191" i="4"/>
  <c r="V191" i="4" s="1"/>
  <c r="P191" i="4"/>
  <c r="T191" i="4" s="1"/>
  <c r="S191" i="4"/>
  <c r="W191" i="4" s="1"/>
  <c r="N193" i="4"/>
  <c r="M193" i="4" s="1"/>
  <c r="O193" i="4" s="1"/>
  <c r="M192" i="4"/>
  <c r="O192" i="4" s="1"/>
  <c r="S192" i="4" l="1"/>
  <c r="W192" i="4" s="1"/>
  <c r="P192" i="4"/>
  <c r="T192" i="4" s="1"/>
  <c r="Q192" i="4"/>
  <c r="U192" i="4" s="1"/>
  <c r="R192" i="4"/>
  <c r="V192" i="4" s="1"/>
  <c r="S193" i="4"/>
  <c r="W193" i="4" s="1"/>
  <c r="P193" i="4"/>
  <c r="T193" i="4" s="1"/>
  <c r="Q193" i="4"/>
  <c r="U193" i="4" s="1"/>
  <c r="R193" i="4"/>
  <c r="V193" i="4" s="1"/>
  <c r="V13" i="7"/>
  <c r="V14" i="7"/>
  <c r="V15" i="7" l="1"/>
  <c r="V16" i="7"/>
  <c r="V17" i="7" l="1"/>
  <c r="C26" i="7" s="1"/>
  <c r="C32" i="7" l="1"/>
  <c r="D32" i="7" s="1"/>
  <c r="M12" i="2"/>
  <c r="V18" i="7"/>
  <c r="W19" i="7"/>
  <c r="W20" i="7" l="1"/>
  <c r="V20" i="7" s="1"/>
  <c r="V19" i="7"/>
  <c r="C33" i="7"/>
  <c r="D33" i="7" s="1"/>
  <c r="W21" i="7" l="1"/>
  <c r="W22" i="7" s="1"/>
  <c r="V21" i="7" l="1"/>
  <c r="V22" i="7" l="1"/>
  <c r="W24" i="7"/>
  <c r="W23" i="7"/>
  <c r="V23" i="7" s="1"/>
  <c r="O10" i="2" l="1"/>
  <c r="J38" i="2"/>
  <c r="M194" i="4"/>
  <c r="E25" i="7"/>
  <c r="C25" i="7"/>
  <c r="D25" i="7" s="1"/>
  <c r="J60" i="2"/>
  <c r="J59" i="2" s="1"/>
  <c r="W25" i="7"/>
  <c r="V24" i="7"/>
  <c r="K38" i="2" l="1"/>
  <c r="J37" i="2"/>
  <c r="J39" i="2"/>
  <c r="W28" i="7"/>
  <c r="V25" i="7"/>
  <c r="V28" i="7" l="1"/>
  <c r="W29" i="7"/>
  <c r="V29" i="7" s="1"/>
  <c r="K39" i="2"/>
  <c r="J40" i="2"/>
  <c r="H25" i="7"/>
  <c r="F25" i="7"/>
  <c r="G25" i="7" s="1"/>
  <c r="X194" i="4"/>
  <c r="R60" i="2"/>
  <c r="R59" i="2" s="1"/>
  <c r="K37" i="2"/>
  <c r="J36" i="2"/>
  <c r="L38" i="2"/>
  <c r="O38" i="2" s="1"/>
  <c r="N38" i="2"/>
  <c r="Q38" i="2" s="1"/>
  <c r="K36" i="2" l="1"/>
  <c r="J35" i="2"/>
  <c r="K40" i="2"/>
  <c r="J41" i="2"/>
  <c r="L39" i="2"/>
  <c r="O39" i="2" s="1"/>
  <c r="N39" i="2"/>
  <c r="Q39" i="2" s="1"/>
  <c r="E33" i="7"/>
  <c r="G33" i="7" s="1"/>
  <c r="N37" i="2"/>
  <c r="Q37" i="2" s="1"/>
  <c r="L37" i="2"/>
  <c r="O37" i="2" s="1"/>
  <c r="M13" i="2"/>
  <c r="E32" i="7"/>
  <c r="G32" i="7" s="1"/>
  <c r="K41" i="2" l="1"/>
  <c r="J42" i="2"/>
  <c r="M36" i="2"/>
  <c r="P36" i="2" s="1"/>
  <c r="M38" i="2"/>
  <c r="P38" i="2" s="1"/>
  <c r="M39" i="2"/>
  <c r="P39" i="2" s="1"/>
  <c r="M37" i="2"/>
  <c r="P37" i="2" s="1"/>
  <c r="M41" i="2"/>
  <c r="P41" i="2" s="1"/>
  <c r="M40" i="2"/>
  <c r="P40" i="2" s="1"/>
  <c r="L40" i="2"/>
  <c r="O40" i="2" s="1"/>
  <c r="N40" i="2"/>
  <c r="Q40" i="2" s="1"/>
  <c r="J34" i="2"/>
  <c r="K35" i="2"/>
  <c r="M35" i="2" s="1"/>
  <c r="P35" i="2" s="1"/>
  <c r="L36" i="2"/>
  <c r="O36" i="2" s="1"/>
  <c r="N36" i="2"/>
  <c r="Q36" i="2" s="1"/>
  <c r="K34" i="2" l="1"/>
  <c r="J33" i="2"/>
  <c r="L35" i="2"/>
  <c r="O35" i="2" s="1"/>
  <c r="N35" i="2"/>
  <c r="Q35" i="2" s="1"/>
  <c r="J43" i="2"/>
  <c r="K42" i="2"/>
  <c r="N41" i="2"/>
  <c r="Q41" i="2" s="1"/>
  <c r="L41" i="2"/>
  <c r="O41" i="2" s="1"/>
  <c r="N42" i="2" l="1"/>
  <c r="Q42" i="2" s="1"/>
  <c r="L42" i="2"/>
  <c r="O42" i="2" s="1"/>
  <c r="M42" i="2"/>
  <c r="P42" i="2" s="1"/>
  <c r="J44" i="2"/>
  <c r="K43" i="2"/>
  <c r="J32" i="2"/>
  <c r="K33" i="2"/>
  <c r="L34" i="2"/>
  <c r="O34" i="2" s="1"/>
  <c r="N34" i="2"/>
  <c r="Q34" i="2" s="1"/>
  <c r="M34" i="2"/>
  <c r="P34" i="2" s="1"/>
  <c r="N33" i="2" l="1"/>
  <c r="Q33" i="2" s="1"/>
  <c r="L33" i="2"/>
  <c r="O33" i="2" s="1"/>
  <c r="M33" i="2"/>
  <c r="P33" i="2" s="1"/>
  <c r="K32" i="2"/>
  <c r="J31" i="2"/>
  <c r="N43" i="2"/>
  <c r="Q43" i="2" s="1"/>
  <c r="L43" i="2"/>
  <c r="O43" i="2" s="1"/>
  <c r="M43" i="2"/>
  <c r="P43" i="2" s="1"/>
  <c r="J45" i="2"/>
  <c r="K44" i="2"/>
  <c r="J30" i="2" l="1"/>
  <c r="K31" i="2"/>
  <c r="N32" i="2"/>
  <c r="Q32" i="2" s="1"/>
  <c r="L32" i="2"/>
  <c r="O32" i="2" s="1"/>
  <c r="M32" i="2"/>
  <c r="P32" i="2" s="1"/>
  <c r="L44" i="2"/>
  <c r="O44" i="2" s="1"/>
  <c r="N44" i="2"/>
  <c r="Q44" i="2" s="1"/>
  <c r="M44" i="2"/>
  <c r="P44" i="2" s="1"/>
  <c r="J46" i="2"/>
  <c r="K45" i="2"/>
  <c r="L45" i="2" l="1"/>
  <c r="O45" i="2" s="1"/>
  <c r="N45" i="2"/>
  <c r="Q45" i="2" s="1"/>
  <c r="M45" i="2"/>
  <c r="P45" i="2" s="1"/>
  <c r="L31" i="2"/>
  <c r="O31" i="2" s="1"/>
  <c r="N31" i="2"/>
  <c r="Q31" i="2" s="1"/>
  <c r="M31" i="2"/>
  <c r="P31" i="2" s="1"/>
  <c r="J47" i="2"/>
  <c r="K46" i="2"/>
  <c r="K30" i="2"/>
  <c r="J29" i="2"/>
  <c r="L46" i="2" l="1"/>
  <c r="O46" i="2" s="1"/>
  <c r="N46" i="2"/>
  <c r="Q46" i="2" s="1"/>
  <c r="M46" i="2"/>
  <c r="P46" i="2" s="1"/>
  <c r="K47" i="2"/>
  <c r="J48" i="2"/>
  <c r="J28" i="2"/>
  <c r="K29" i="2"/>
  <c r="L30" i="2"/>
  <c r="O30" i="2" s="1"/>
  <c r="N30" i="2"/>
  <c r="Q30" i="2" s="1"/>
  <c r="M30" i="2"/>
  <c r="P30" i="2" s="1"/>
  <c r="L29" i="2" l="1"/>
  <c r="O29" i="2" s="1"/>
  <c r="N29" i="2"/>
  <c r="Q29" i="2" s="1"/>
  <c r="M29" i="2"/>
  <c r="P29" i="2" s="1"/>
  <c r="K28" i="2"/>
  <c r="J27" i="2"/>
  <c r="K48" i="2"/>
  <c r="J49" i="2"/>
  <c r="L47" i="2"/>
  <c r="O47" i="2" s="1"/>
  <c r="N47" i="2"/>
  <c r="Q47" i="2" s="1"/>
  <c r="M47" i="2"/>
  <c r="P47" i="2" s="1"/>
  <c r="K49" i="2" l="1"/>
  <c r="J50" i="2"/>
  <c r="L48" i="2"/>
  <c r="O48" i="2" s="1"/>
  <c r="N48" i="2"/>
  <c r="Q48" i="2" s="1"/>
  <c r="M48" i="2"/>
  <c r="P48" i="2" s="1"/>
  <c r="J26" i="2"/>
  <c r="K27" i="2"/>
  <c r="L28" i="2"/>
  <c r="O28" i="2" s="1"/>
  <c r="N28" i="2"/>
  <c r="Q28" i="2" s="1"/>
  <c r="M28" i="2"/>
  <c r="P28" i="2" s="1"/>
  <c r="L27" i="2" l="1"/>
  <c r="O27" i="2" s="1"/>
  <c r="N27" i="2"/>
  <c r="Q27" i="2" s="1"/>
  <c r="M27" i="2"/>
  <c r="P27" i="2" s="1"/>
  <c r="K26" i="2"/>
  <c r="J25" i="2"/>
  <c r="J51" i="2"/>
  <c r="K50" i="2"/>
  <c r="N49" i="2"/>
  <c r="Q49" i="2" s="1"/>
  <c r="L49" i="2"/>
  <c r="O49" i="2" s="1"/>
  <c r="M49" i="2"/>
  <c r="P49" i="2" s="1"/>
  <c r="N50" i="2" l="1"/>
  <c r="Q50" i="2" s="1"/>
  <c r="L50" i="2"/>
  <c r="O50" i="2" s="1"/>
  <c r="M50" i="2"/>
  <c r="P50" i="2" s="1"/>
  <c r="J52" i="2"/>
  <c r="K51" i="2"/>
  <c r="K25" i="2"/>
  <c r="J24" i="2"/>
  <c r="N26" i="2"/>
  <c r="Q26" i="2" s="1"/>
  <c r="L26" i="2"/>
  <c r="O26" i="2" s="1"/>
  <c r="M26" i="2"/>
  <c r="P26" i="2" s="1"/>
  <c r="K24" i="2" l="1"/>
  <c r="J23" i="2"/>
  <c r="N25" i="2"/>
  <c r="Q25" i="2" s="1"/>
  <c r="L25" i="2"/>
  <c r="O25" i="2" s="1"/>
  <c r="M25" i="2"/>
  <c r="P25" i="2" s="1"/>
  <c r="L51" i="2"/>
  <c r="O51" i="2" s="1"/>
  <c r="N51" i="2"/>
  <c r="Q51" i="2" s="1"/>
  <c r="M51" i="2"/>
  <c r="P51" i="2" s="1"/>
  <c r="J53" i="2"/>
  <c r="K52" i="2"/>
  <c r="L52" i="2" l="1"/>
  <c r="O52" i="2" s="1"/>
  <c r="N52" i="2"/>
  <c r="Q52" i="2" s="1"/>
  <c r="M52" i="2"/>
  <c r="P52" i="2" s="1"/>
  <c r="J22" i="2"/>
  <c r="K23" i="2"/>
  <c r="J54" i="2"/>
  <c r="K53" i="2"/>
  <c r="N24" i="2"/>
  <c r="Q24" i="2" s="1"/>
  <c r="L24" i="2"/>
  <c r="O24" i="2" s="1"/>
  <c r="M24" i="2"/>
  <c r="P24" i="2" s="1"/>
  <c r="N53" i="2" l="1"/>
  <c r="Q53" i="2" s="1"/>
  <c r="L53" i="2"/>
  <c r="O53" i="2" s="1"/>
  <c r="M53" i="2"/>
  <c r="P53" i="2" s="1"/>
  <c r="K54" i="2"/>
  <c r="J55" i="2"/>
  <c r="N23" i="2"/>
  <c r="Q23" i="2" s="1"/>
  <c r="L23" i="2"/>
  <c r="O23" i="2" s="1"/>
  <c r="M23" i="2"/>
  <c r="P23" i="2" s="1"/>
  <c r="K22" i="2"/>
  <c r="J21" i="2"/>
  <c r="J56" i="2" l="1"/>
  <c r="K55" i="2"/>
  <c r="L54" i="2"/>
  <c r="O54" i="2" s="1"/>
  <c r="N54" i="2"/>
  <c r="Q54" i="2" s="1"/>
  <c r="M54" i="2"/>
  <c r="P54" i="2" s="1"/>
  <c r="J20" i="2"/>
  <c r="K21" i="2"/>
  <c r="L22" i="2"/>
  <c r="O22" i="2" s="1"/>
  <c r="N22" i="2"/>
  <c r="Q22" i="2" s="1"/>
  <c r="M22" i="2"/>
  <c r="P22" i="2" s="1"/>
  <c r="N21" i="2" l="1"/>
  <c r="Q21" i="2" s="1"/>
  <c r="L21" i="2"/>
  <c r="O21" i="2" s="1"/>
  <c r="M21" i="2"/>
  <c r="P21" i="2" s="1"/>
  <c r="K20" i="2"/>
  <c r="J19" i="2"/>
  <c r="L55" i="2"/>
  <c r="O55" i="2" s="1"/>
  <c r="N55" i="2"/>
  <c r="Q55" i="2" s="1"/>
  <c r="M55" i="2"/>
  <c r="P55" i="2" s="1"/>
  <c r="J57" i="2"/>
  <c r="K56" i="2"/>
  <c r="J18" i="2" l="1"/>
  <c r="K18" i="2" s="1"/>
  <c r="K19" i="2"/>
  <c r="N20" i="2"/>
  <c r="Q20" i="2" s="1"/>
  <c r="L20" i="2"/>
  <c r="O20" i="2" s="1"/>
  <c r="M20" i="2"/>
  <c r="P20" i="2" s="1"/>
  <c r="N56" i="2"/>
  <c r="Q56" i="2" s="1"/>
  <c r="L56" i="2"/>
  <c r="O56" i="2" s="1"/>
  <c r="M56" i="2"/>
  <c r="P56" i="2" s="1"/>
  <c r="K57" i="2"/>
  <c r="J58" i="2"/>
  <c r="K58" i="2" s="1"/>
  <c r="N58" i="2" l="1"/>
  <c r="Q58" i="2" s="1"/>
  <c r="L58" i="2"/>
  <c r="O58" i="2" s="1"/>
  <c r="M58" i="2"/>
  <c r="P58" i="2" s="1"/>
  <c r="N19" i="2"/>
  <c r="Q19" i="2" s="1"/>
  <c r="L19" i="2"/>
  <c r="O19" i="2" s="1"/>
  <c r="M19" i="2"/>
  <c r="P19" i="2" s="1"/>
  <c r="N57" i="2"/>
  <c r="Q57" i="2" s="1"/>
  <c r="L57" i="2"/>
  <c r="O57" i="2" s="1"/>
  <c r="M57" i="2"/>
  <c r="P57" i="2" s="1"/>
  <c r="N18" i="2"/>
  <c r="Q18" i="2" s="1"/>
  <c r="L18" i="2"/>
  <c r="O18" i="2" s="1"/>
  <c r="M18" i="2"/>
  <c r="P18" i="2" s="1"/>
</calcChain>
</file>

<file path=xl/sharedStrings.xml><?xml version="1.0" encoding="utf-8"?>
<sst xmlns="http://schemas.openxmlformats.org/spreadsheetml/2006/main" count="186" uniqueCount="175">
  <si>
    <t>Datum:</t>
  </si>
  <si>
    <t>Uhrzeit UT1:</t>
  </si>
  <si>
    <t>Sextantenablesung:</t>
  </si>
  <si>
    <t>Grad</t>
  </si>
  <si>
    <t>UR</t>
  </si>
  <si>
    <t xml:space="preserve">Indexberichtigung Beob. 1: </t>
  </si>
  <si>
    <t xml:space="preserve">Indexberichtigung Beob. 2: </t>
  </si>
  <si>
    <t>h</t>
  </si>
  <si>
    <t xml:space="preserve">Schiffsmittag: </t>
  </si>
  <si>
    <t>U</t>
  </si>
  <si>
    <t>Sextantenablesung :</t>
  </si>
  <si>
    <t>Gesamtbeschickung :</t>
  </si>
  <si>
    <t>Zusatzbeschickung :</t>
  </si>
  <si>
    <t>Indexberichtigung :</t>
  </si>
  <si>
    <t>Bogenmaß :</t>
  </si>
  <si>
    <t>beobachtete Höhe:</t>
  </si>
  <si>
    <t>Grad Minuten :</t>
  </si>
  <si>
    <t>Zeit UT1:</t>
  </si>
  <si>
    <t>Greenwichwinkel Grt:</t>
  </si>
  <si>
    <r>
      <t xml:space="preserve">Deklination </t>
    </r>
    <r>
      <rPr>
        <sz val="11"/>
        <color theme="1"/>
        <rFont val="Symbol"/>
        <charset val="2"/>
      </rPr>
      <t>d</t>
    </r>
    <r>
      <rPr>
        <sz val="11"/>
        <color theme="1"/>
        <rFont val="Helvetica Neue"/>
        <family val="2"/>
      </rPr>
      <t>:</t>
    </r>
  </si>
  <si>
    <t>LHA:</t>
  </si>
  <si>
    <t>beobachtete Höhe h:</t>
  </si>
  <si>
    <t>Bezeichnung</t>
  </si>
  <si>
    <t xml:space="preserve">LHA = </t>
  </si>
  <si>
    <t>Azimut Az:</t>
  </si>
  <si>
    <t>UTC</t>
  </si>
  <si>
    <t>F =</t>
  </si>
  <si>
    <t>W =</t>
  </si>
  <si>
    <t>G =</t>
  </si>
  <si>
    <r>
      <rPr>
        <sz val="12"/>
        <color theme="1"/>
        <rFont val="Symbol"/>
        <charset val="2"/>
      </rPr>
      <t>j</t>
    </r>
    <r>
      <rPr>
        <sz val="12"/>
        <color theme="1"/>
        <rFont val="Calibri"/>
        <family val="2"/>
        <charset val="2"/>
        <scheme val="minor"/>
      </rPr>
      <t xml:space="preserve"> =</t>
    </r>
  </si>
  <si>
    <t>z =</t>
  </si>
  <si>
    <r>
      <rPr>
        <sz val="12"/>
        <color theme="1"/>
        <rFont val="Symbol"/>
        <charset val="2"/>
      </rPr>
      <t>t</t>
    </r>
    <r>
      <rPr>
        <sz val="12"/>
        <color theme="1"/>
        <rFont val="Calibri"/>
        <family val="2"/>
        <scheme val="minor"/>
      </rPr>
      <t xml:space="preserve"> =</t>
    </r>
  </si>
  <si>
    <t>distance made good:</t>
  </si>
  <si>
    <t>course made good:</t>
  </si>
  <si>
    <t xml:space="preserve">LHA' = </t>
  </si>
  <si>
    <t xml:space="preserve">z' = </t>
  </si>
  <si>
    <t>V =</t>
  </si>
  <si>
    <t>h_</t>
  </si>
  <si>
    <r>
      <rPr>
        <sz val="12"/>
        <color theme="1"/>
        <rFont val="Symbol"/>
        <charset val="2"/>
      </rPr>
      <t>q</t>
    </r>
    <r>
      <rPr>
        <sz val="12"/>
        <color theme="1"/>
        <rFont val="Calibri"/>
        <family val="2"/>
        <charset val="2"/>
        <scheme val="minor"/>
      </rPr>
      <t xml:space="preserve"> =</t>
    </r>
  </si>
  <si>
    <r>
      <rPr>
        <sz val="12"/>
        <color theme="1"/>
        <rFont val="Symbol"/>
        <charset val="2"/>
      </rPr>
      <t>l</t>
    </r>
    <r>
      <rPr>
        <sz val="12"/>
        <color theme="1"/>
        <rFont val="Calibri"/>
        <family val="2"/>
        <charset val="2"/>
        <scheme val="minor"/>
      </rPr>
      <t>* =</t>
    </r>
  </si>
  <si>
    <t xml:space="preserve">hs = </t>
  </si>
  <si>
    <t>Ws =</t>
  </si>
  <si>
    <t>Gs =</t>
  </si>
  <si>
    <r>
      <rPr>
        <sz val="12"/>
        <color theme="1"/>
        <rFont val="Symbol"/>
        <charset val="2"/>
      </rPr>
      <t>l</t>
    </r>
    <r>
      <rPr>
        <sz val="12"/>
        <color theme="1"/>
        <rFont val="Calibri (Textkörper)"/>
      </rPr>
      <t xml:space="preserve">s = </t>
    </r>
  </si>
  <si>
    <t>radiant</t>
  </si>
  <si>
    <t>Symbol</t>
  </si>
  <si>
    <t>Obs. 1</t>
  </si>
  <si>
    <t>Obs. 2</t>
  </si>
  <si>
    <t>P</t>
  </si>
  <si>
    <t>COP 1</t>
  </si>
  <si>
    <t>COP 2</t>
  </si>
  <si>
    <t>Info for COP 2</t>
  </si>
  <si>
    <t>Position</t>
  </si>
  <si>
    <t>Standort und Versegelung</t>
  </si>
  <si>
    <t>Kennwort:     change</t>
  </si>
  <si>
    <t xml:space="preserve">Breitenbereich: </t>
  </si>
  <si>
    <t>versegelter Kurs:</t>
  </si>
  <si>
    <t>versegelte Strecke s:</t>
  </si>
  <si>
    <t>nm</t>
  </si>
  <si>
    <r>
      <t xml:space="preserve">versegelte Breite </t>
    </r>
    <r>
      <rPr>
        <sz val="12"/>
        <color theme="1"/>
        <rFont val="Symbol"/>
        <charset val="2"/>
      </rPr>
      <t>Dj</t>
    </r>
    <r>
      <rPr>
        <sz val="12"/>
        <color theme="1"/>
        <rFont val="Helvetica Neue"/>
        <family val="2"/>
      </rPr>
      <t>:</t>
    </r>
  </si>
  <si>
    <t xml:space="preserve">Schrittweite Breite: </t>
  </si>
  <si>
    <t>LHA° :</t>
  </si>
  <si>
    <t>LHA°_ :</t>
  </si>
  <si>
    <t>Standortgrafikbereich</t>
  </si>
  <si>
    <t>j</t>
  </si>
  <si>
    <t>lv</t>
  </si>
  <si>
    <r>
      <rPr>
        <sz val="12"/>
        <color theme="1"/>
        <rFont val="Symbol"/>
        <charset val="2"/>
      </rPr>
      <t>t</t>
    </r>
    <r>
      <rPr>
        <sz val="12"/>
        <color theme="1"/>
        <rFont val="Calibri (Textkörper)"/>
      </rPr>
      <t>s =</t>
    </r>
    <r>
      <rPr>
        <sz val="12"/>
        <color theme="1"/>
        <rFont val="Calibri"/>
        <family val="2"/>
        <charset val="2"/>
      </rPr>
      <t xml:space="preserve"> </t>
    </r>
  </si>
  <si>
    <r>
      <rPr>
        <sz val="12"/>
        <color theme="1"/>
        <rFont val="Symbol"/>
        <charset val="2"/>
      </rPr>
      <t>j</t>
    </r>
    <r>
      <rPr>
        <sz val="12"/>
        <color theme="1"/>
        <rFont val="Calibri (Textkörper)"/>
      </rPr>
      <t>s =</t>
    </r>
    <r>
      <rPr>
        <sz val="12"/>
        <color theme="1"/>
        <rFont val="Calibri"/>
        <family val="2"/>
        <charset val="2"/>
      </rPr>
      <t xml:space="preserve"> </t>
    </r>
  </si>
  <si>
    <r>
      <t>l</t>
    </r>
    <r>
      <rPr>
        <sz val="12"/>
        <color rgb="FF000000"/>
        <rFont val="Calibri (Textkörper)"/>
      </rPr>
      <t>*s =</t>
    </r>
    <r>
      <rPr>
        <sz val="12"/>
        <color rgb="FF000000"/>
        <rFont val="Symbol"/>
        <charset val="2"/>
      </rPr>
      <t xml:space="preserve"> </t>
    </r>
  </si>
  <si>
    <r>
      <t>versegelte Länge</t>
    </r>
    <r>
      <rPr>
        <sz val="12"/>
        <color theme="1"/>
        <rFont val="Symbol"/>
        <charset val="2"/>
      </rPr>
      <t xml:space="preserve"> Dl</t>
    </r>
    <r>
      <rPr>
        <sz val="12"/>
        <color theme="1"/>
        <rFont val="Helvetica Neue"/>
        <family val="2"/>
      </rPr>
      <t>:</t>
    </r>
  </si>
  <si>
    <r>
      <rPr>
        <sz val="12"/>
        <rFont val="Symbol"/>
        <charset val="2"/>
      </rPr>
      <t>j</t>
    </r>
    <r>
      <rPr>
        <sz val="9"/>
        <rFont val="Calibri"/>
        <family val="2"/>
      </rPr>
      <t>rad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</si>
  <si>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1</t>
    </r>
  </si>
  <si>
    <r>
      <t>P</t>
    </r>
    <r>
      <rPr>
        <sz val="9"/>
        <rFont val="Symbol"/>
        <charset val="2"/>
      </rPr>
      <t>l</t>
    </r>
    <r>
      <rPr>
        <sz val="9"/>
        <rFont val="Helvetica Neue"/>
        <family val="2"/>
      </rPr>
      <t>2</t>
    </r>
  </si>
  <si>
    <r>
      <t>P</t>
    </r>
    <r>
      <rPr>
        <sz val="9"/>
        <rFont val="Symbol"/>
        <charset val="2"/>
      </rPr>
      <t>l</t>
    </r>
    <r>
      <rPr>
        <sz val="9"/>
        <rFont val="Calibri (Textkörper)"/>
      </rPr>
      <t>S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</si>
  <si>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1</t>
    </r>
  </si>
  <si>
    <r>
      <rPr>
        <sz val="12"/>
        <rFont val="Symbol"/>
        <charset val="2"/>
      </rPr>
      <t>l</t>
    </r>
    <r>
      <rPr>
        <sz val="9"/>
        <rFont val="Helvetica Neue"/>
        <family val="2"/>
      </rPr>
      <t>2</t>
    </r>
  </si>
  <si>
    <t>DMG</t>
  </si>
  <si>
    <r>
      <t xml:space="preserve">versegelte </t>
    </r>
    <r>
      <rPr>
        <sz val="14"/>
        <color theme="1"/>
        <rFont val="Symbol"/>
        <charset val="2"/>
      </rPr>
      <t xml:space="preserve">l </t>
    </r>
    <r>
      <rPr>
        <sz val="14"/>
        <color theme="1"/>
        <rFont val="Helvetica Neue"/>
        <family val="2"/>
      </rPr>
      <t>und</t>
    </r>
    <r>
      <rPr>
        <sz val="14"/>
        <color theme="1"/>
        <rFont val="Symbol"/>
        <charset val="2"/>
      </rPr>
      <t xml:space="preserve"> j</t>
    </r>
    <r>
      <rPr>
        <sz val="14"/>
        <color theme="1"/>
        <rFont val="Helvetica Neue"/>
        <family val="2"/>
      </rPr>
      <t xml:space="preserve"> für die Standortgrafik</t>
    </r>
  </si>
  <si>
    <r>
      <t>L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</si>
  <si>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T = </t>
  </si>
  <si>
    <t xml:space="preserve">L = </t>
  </si>
  <si>
    <r>
      <t>𝜛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</si>
  <si>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>M =</t>
  </si>
  <si>
    <t xml:space="preserve">e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</si>
  <si>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</si>
  <si>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r>
      <t>g</t>
    </r>
    <r>
      <rPr>
        <sz val="8"/>
        <color theme="1"/>
        <rFont val="Calibri (Textkörper)_x0000_"/>
      </rPr>
      <t>rad</t>
    </r>
    <r>
      <rPr>
        <sz val="12"/>
        <color theme="1"/>
        <rFont val="Calibri"/>
        <family val="2"/>
        <scheme val="minor"/>
      </rPr>
      <t xml:space="preserve"> = </t>
    </r>
  </si>
  <si>
    <t xml:space="preserve">d = </t>
  </si>
  <si>
    <t xml:space="preserve">d° = </t>
  </si>
  <si>
    <t xml:space="preserve">_A1 = </t>
  </si>
  <si>
    <t xml:space="preserve">_A2 = </t>
  </si>
  <si>
    <t xml:space="preserve">_A3 = </t>
  </si>
  <si>
    <t xml:space="preserve">_A4 = </t>
  </si>
  <si>
    <t xml:space="preserve">_B1 = </t>
  </si>
  <si>
    <t xml:space="preserve">_B2 = </t>
  </si>
  <si>
    <t xml:space="preserve">_B3 = </t>
  </si>
  <si>
    <t xml:space="preserve">_B4 = </t>
  </si>
  <si>
    <t>Einstellungen</t>
  </si>
  <si>
    <t>Messung 1</t>
  </si>
  <si>
    <t>Versegelung</t>
  </si>
  <si>
    <t>Messung 2</t>
  </si>
  <si>
    <t>Ergebnis</t>
  </si>
  <si>
    <t>Zusatzinformationen</t>
  </si>
  <si>
    <t>Bahnparameter</t>
  </si>
  <si>
    <t>Zusatzbeschickung</t>
  </si>
  <si>
    <t>gewählt:</t>
  </si>
  <si>
    <t>Monat</t>
  </si>
  <si>
    <t xml:space="preserve">Grt = </t>
  </si>
  <si>
    <t xml:space="preserve">Grt° = </t>
  </si>
  <si>
    <t xml:space="preserve">C = </t>
  </si>
  <si>
    <t xml:space="preserve">Grt0 = </t>
  </si>
  <si>
    <t xml:space="preserve">Dat ref = </t>
  </si>
  <si>
    <t xml:space="preserve">eigene Standortbreite : </t>
  </si>
  <si>
    <t>Position calculation</t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</si>
  <si>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W-1</t>
    </r>
  </si>
  <si>
    <r>
      <rPr>
        <sz val="12"/>
        <color theme="1"/>
        <rFont val="Symbol"/>
        <charset val="2"/>
      </rPr>
      <t>j</t>
    </r>
    <r>
      <rPr>
        <vertAlign val="subscript"/>
        <sz val="12"/>
        <color theme="1"/>
        <rFont val="Helvetica Neue"/>
        <family val="2"/>
      </rPr>
      <t>rad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</si>
  <si>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</si>
  <si>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</si>
  <si>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</si>
  <si>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t>P</t>
    </r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</si>
  <si>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</si>
  <si>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1s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</si>
  <si>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</t>
    </r>
  </si>
  <si>
    <r>
      <rPr>
        <sz val="12"/>
        <color theme="1"/>
        <rFont val="Symbol"/>
        <charset val="2"/>
      </rPr>
      <t>l</t>
    </r>
    <r>
      <rPr>
        <vertAlign val="subscript"/>
        <sz val="12"/>
        <color theme="1"/>
        <rFont val="Helvetica Neue"/>
        <family val="2"/>
      </rPr>
      <t>2s</t>
    </r>
  </si>
  <si>
    <t>Schrittweiten in der Grafik</t>
  </si>
  <si>
    <t xml:space="preserve">Nordausdehnung grosser Kreis: </t>
  </si>
  <si>
    <t xml:space="preserve">Südausdehnung grosser Kreis: </t>
  </si>
  <si>
    <t xml:space="preserve">Nordausdehnung kleiner Kreis: </t>
  </si>
  <si>
    <t xml:space="preserve">Südausdehnung kleiner Kreis: </t>
  </si>
  <si>
    <t>Nordausdehnung wenn nur ein Kreis:</t>
  </si>
  <si>
    <t>Südausdehnung wenn nur ein Kreis:</t>
  </si>
  <si>
    <t>Durchmesser großer Kreis:</t>
  </si>
  <si>
    <t>Durchmesser kleiner Kreis:</t>
  </si>
  <si>
    <t>gegebene Stufenanzahl für gr. Kreis:</t>
  </si>
  <si>
    <t>proprtionale Stufenzakl für kl. Kreis:</t>
  </si>
  <si>
    <t>halbe Stufendifferenz (oben/ unten):</t>
  </si>
  <si>
    <t>Schrittweite in der Breite:</t>
  </si>
  <si>
    <t>Grafik Global</t>
  </si>
  <si>
    <t>Grafikberechnung</t>
  </si>
  <si>
    <t>globale Grafik</t>
  </si>
  <si>
    <t>Pos.</t>
  </si>
  <si>
    <t xml:space="preserve"> Sonnenrand Beob. 1: </t>
  </si>
  <si>
    <t xml:space="preserve"> Sonnenrand Beob. 2: </t>
  </si>
  <si>
    <t>Sun</t>
  </si>
  <si>
    <t>Beschickung der Sextantenablesung</t>
  </si>
  <si>
    <t>Sonnenpositionen</t>
  </si>
  <si>
    <t>sun navigation</t>
  </si>
  <si>
    <r>
      <t xml:space="preserve">Passwort:  </t>
    </r>
    <r>
      <rPr>
        <b/>
        <sz val="16"/>
        <rFont val="Helvetica Neue"/>
        <family val="2"/>
      </rPr>
      <t>change</t>
    </r>
  </si>
  <si>
    <t xml:space="preserve"> m</t>
  </si>
  <si>
    <t>Navigieren mit Gauß</t>
  </si>
  <si>
    <t>N</t>
  </si>
  <si>
    <t>Standortgrafik</t>
  </si>
  <si>
    <t>V</t>
  </si>
  <si>
    <t>G</t>
  </si>
  <si>
    <t>tau</t>
  </si>
  <si>
    <t>Gs</t>
  </si>
  <si>
    <t>taus</t>
  </si>
  <si>
    <t xml:space="preserve">TT.MM.JJ: </t>
  </si>
  <si>
    <t xml:space="preserve">Augeshöhe: </t>
  </si>
  <si>
    <t xml:space="preserve"> NM</t>
  </si>
  <si>
    <t>Name</t>
  </si>
  <si>
    <t>F</t>
  </si>
  <si>
    <t>W</t>
  </si>
  <si>
    <t>_l</t>
  </si>
  <si>
    <t>Az</t>
  </si>
  <si>
    <t>hs</t>
  </si>
  <si>
    <t>Ws</t>
  </si>
  <si>
    <t>js</t>
  </si>
  <si>
    <t>_ls</t>
  </si>
  <si>
    <t>ls</t>
  </si>
  <si>
    <t>q</t>
  </si>
  <si>
    <t>LHA</t>
  </si>
  <si>
    <t>LHA_</t>
  </si>
  <si>
    <t>z_</t>
  </si>
  <si>
    <t>Wert</t>
  </si>
  <si>
    <t xml:space="preserve">Datumsdifferenz: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</si>
</sst>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64" formatCode="0.0000"/>
    <numFmt numFmtId="165" formatCode="0.000"/>
    <numFmt numFmtId="166" formatCode="0.0"/>
    <numFmt numFmtId="167" formatCode="[$-407]d/\ mmm/;@"/>
    <numFmt numFmtId="168" formatCode="[$-F400]h:mm:ss\ AM/PM"/>
    <numFmt numFmtId="169" formatCode="[$-407]d/\ mmm\ yy;@"/>
    <numFmt numFmtId="170" formatCode="0.000_ ;[Red]\-0.000\ "/>
    <numFmt numFmtId="171" formatCode="0.0000_ ;[Red]\-0.0000\ "/>
    <numFmt numFmtId="172" formatCode="0.00\°"/>
    <numFmt numFmtId="173" formatCode="0\°"/>
    <numFmt numFmtId="174" formatCode="0.000\°"/>
    <numFmt numFmtId="175" formatCode="000\°"/>
    <numFmt numFmtId="176" formatCode="0.00\'"/>
    <numFmt numFmtId="177" formatCode="0.0\'"/>
    <numFmt numFmtId="178" formatCode="0.00\°;[Red]0.00\°"/>
    <numFmt numFmtId="179" formatCode="0.00000"/>
    <numFmt numFmtId="180" formatCode="0.0\°"/>
    <numFmt numFmtId="181" formatCode="#,##0.00\ _€"/>
    <numFmt numFmtId="182" formatCode="0.00_ ;[Red]\-0.00\ "/>
    <numFmt numFmtId="183" formatCode="0.000000"/>
    <numFmt numFmtId="184" formatCode="0.0000E+00"/>
    <numFmt numFmtId="185" formatCode="d/m/yyyy;@"/>
    <numFmt numFmtId="186" formatCode="0.00\°;[Red]\-0.00\°"/>
  </numFmts>
  <fonts count="62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Lucida Calligraphy Italic"/>
    </font>
    <font>
      <b/>
      <sz val="18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theme="1"/>
      <name val="Helvetica Neue"/>
      <family val="2"/>
    </font>
    <font>
      <sz val="10"/>
      <color rgb="FFC00000"/>
      <name val="Helvetica Neue"/>
      <family val="2"/>
    </font>
    <font>
      <sz val="9"/>
      <color rgb="FFC00000"/>
      <name val="Helvetica Neue"/>
      <family val="2"/>
    </font>
    <font>
      <sz val="12"/>
      <color theme="1"/>
      <name val="Symbol"/>
      <charset val="2"/>
    </font>
    <font>
      <sz val="11"/>
      <color theme="1"/>
      <name val="Symbol"/>
      <charset val="2"/>
    </font>
    <font>
      <b/>
      <sz val="10"/>
      <color rgb="FFFF0000"/>
      <name val="Helvetica Neue"/>
      <family val="2"/>
    </font>
    <font>
      <sz val="11"/>
      <name val="Helvetica Neue"/>
      <family val="2"/>
    </font>
    <font>
      <sz val="11"/>
      <color theme="1"/>
      <name val="Calibri"/>
      <family val="2"/>
      <scheme val="minor"/>
    </font>
    <font>
      <sz val="14"/>
      <color theme="1"/>
      <name val="Helvetica Neue"/>
      <family val="2"/>
    </font>
    <font>
      <b/>
      <sz val="11"/>
      <color theme="1"/>
      <name val="Helvetica Neue"/>
      <family val="2"/>
    </font>
    <font>
      <sz val="10"/>
      <color theme="1"/>
      <name val="Calibri"/>
      <family val="2"/>
      <scheme val="minor"/>
    </font>
    <font>
      <sz val="11"/>
      <color rgb="FFC00000"/>
      <name val="Helvetica Neue"/>
      <family val="2"/>
    </font>
    <font>
      <sz val="10"/>
      <color theme="1"/>
      <name val="Lucida Calligraphy Italic"/>
    </font>
    <font>
      <sz val="12"/>
      <color rgb="FFC00000"/>
      <name val="Helvetica Neue"/>
      <family val="2"/>
    </font>
    <font>
      <b/>
      <sz val="12"/>
      <color theme="1"/>
      <name val="Helvetica Neue"/>
      <family val="2"/>
    </font>
    <font>
      <sz val="12"/>
      <name val="Helvetica Neue"/>
      <family val="2"/>
    </font>
    <font>
      <sz val="12"/>
      <color theme="1"/>
      <name val="Calibri"/>
      <family val="2"/>
      <charset val="2"/>
      <scheme val="minor"/>
    </font>
    <font>
      <sz val="12"/>
      <color theme="1"/>
      <name val="Calibri (Textkörper)"/>
    </font>
    <font>
      <sz val="1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6"/>
      <name val="Helvetica Neue"/>
      <family val="2"/>
    </font>
    <font>
      <sz val="18"/>
      <color theme="1" tint="0.34998626667073579"/>
      <name val="Lucida Calligraphy Italic"/>
    </font>
    <font>
      <sz val="12"/>
      <color theme="0" tint="-0.499984740745262"/>
      <name val="Calibri"/>
      <family val="2"/>
      <scheme val="minor"/>
    </font>
    <font>
      <sz val="11"/>
      <color rgb="FFC00000"/>
      <name val="Calibri"/>
      <family val="2"/>
      <scheme val="minor"/>
    </font>
    <font>
      <sz val="12"/>
      <color rgb="FF000000"/>
      <name val="Symbol"/>
      <charset val="2"/>
    </font>
    <font>
      <sz val="12"/>
      <color rgb="FF000000"/>
      <name val="Calibri (Textkörper)"/>
    </font>
    <font>
      <sz val="12"/>
      <color theme="1"/>
      <name val="Calibri"/>
      <family val="2"/>
      <charset val="2"/>
    </font>
    <font>
      <sz val="8"/>
      <color theme="1"/>
      <name val="Calibri (Textkörper)_x0000_"/>
    </font>
    <font>
      <sz val="8"/>
      <color theme="1"/>
      <name val="Calibri (Textkörper)"/>
    </font>
    <font>
      <sz val="12"/>
      <color rgb="FFFF0000"/>
      <name val="Calibri"/>
      <family val="2"/>
      <scheme val="minor"/>
    </font>
    <font>
      <sz val="14"/>
      <color theme="1"/>
      <name val="Symbol"/>
      <charset val="2"/>
    </font>
    <font>
      <sz val="12"/>
      <name val="Symbol"/>
      <charset val="2"/>
    </font>
    <font>
      <sz val="12"/>
      <name val="Calibri"/>
      <family val="2"/>
      <charset val="2"/>
    </font>
    <font>
      <sz val="12"/>
      <name val="Helvetica Neue"/>
      <family val="2"/>
      <charset val="2"/>
    </font>
    <font>
      <sz val="9"/>
      <name val="Helvetica Neue"/>
      <family val="2"/>
      <charset val="2"/>
    </font>
    <font>
      <sz val="12"/>
      <color rgb="FF00B050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1"/>
      <color rgb="FF00B050"/>
      <name val="Helvetica Neue"/>
      <family val="2"/>
    </font>
    <font>
      <sz val="11"/>
      <color rgb="FFFF0000"/>
      <name val="Helvetica Neue"/>
      <family val="2"/>
    </font>
    <font>
      <sz val="11"/>
      <color theme="9" tint="-0.249977111117893"/>
      <name val="Helvetica Neue"/>
      <family val="2"/>
    </font>
    <font>
      <sz val="11"/>
      <color rgb="FF0070C0"/>
      <name val="Helvetica Neue"/>
      <family val="2"/>
    </font>
    <font>
      <sz val="9"/>
      <name val="Calibri"/>
      <family val="2"/>
    </font>
    <font>
      <sz val="9"/>
      <name val="Symbol"/>
      <charset val="2"/>
    </font>
    <font>
      <sz val="9"/>
      <name val="Helvetica Neue"/>
      <family val="2"/>
    </font>
    <font>
      <sz val="9"/>
      <name val="Calibri (Textkörper)"/>
    </font>
    <font>
      <sz val="18"/>
      <color rgb="FFC00000"/>
      <name val="Lucida Calligraphy Italic"/>
    </font>
    <font>
      <sz val="12"/>
      <color rgb="FF000000"/>
      <name val="Calibri"/>
      <family val="2"/>
      <scheme val="minor"/>
    </font>
    <font>
      <sz val="12"/>
      <color theme="1"/>
      <name val="Helvetica Neue"/>
      <family val="2"/>
      <charset val="2"/>
    </font>
    <font>
      <vertAlign val="subscript"/>
      <sz val="12"/>
      <color theme="1"/>
      <name val="Helvetica Neue"/>
      <family val="2"/>
    </font>
    <font>
      <b/>
      <sz val="12"/>
      <color theme="1"/>
      <name val="Lucida Calligraphy Italic"/>
    </font>
    <font>
      <b/>
      <sz val="16"/>
      <name val="Helvetica Neue"/>
      <family val="2"/>
    </font>
    <font>
      <sz val="14"/>
      <color theme="1"/>
      <name val="Calibri"/>
      <family val="2"/>
      <scheme val="minor"/>
    </font>
    <font>
      <b/>
      <sz val="12"/>
      <name val="Helvetica Neue"/>
      <family val="2"/>
    </font>
    <font>
      <b/>
      <sz val="12"/>
      <color rgb="FF000000"/>
      <name val="Helvetica Neue"/>
      <family val="2"/>
    </font>
    <font>
      <b/>
      <sz val="11"/>
      <color rgb="FFC00000"/>
      <name val="Helvetica Neue"/>
      <family val="2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62">
    <border>
      <left/>
      <right/>
      <top/>
      <bottom/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/>
      <right/>
      <top/>
      <bottom style="thin">
        <color rgb="FFC00000"/>
      </bottom>
      <diagonal/>
    </border>
    <border>
      <left/>
      <right/>
      <top style="thin">
        <color rgb="FFC00000"/>
      </top>
      <bottom/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medium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medium">
        <color rgb="FF0070C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/>
      <bottom style="medium">
        <color rgb="FF0070C0"/>
      </bottom>
      <diagonal/>
    </border>
    <border>
      <left/>
      <right style="medium">
        <color rgb="FF0070C0"/>
      </right>
      <top/>
      <bottom style="medium">
        <color rgb="FF0070C0"/>
      </bottom>
      <diagonal/>
    </border>
    <border>
      <left style="medium">
        <color rgb="FFC00000"/>
      </left>
      <right style="thin">
        <color rgb="FFC00000"/>
      </right>
      <top/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/>
      <bottom style="medium">
        <color rgb="FFC00000"/>
      </bottom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thin">
        <color rgb="FFC00000"/>
      </left>
      <right style="thin">
        <color rgb="FFC00000"/>
      </right>
      <top style="medium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 style="thin">
        <color rgb="FFC00000"/>
      </right>
      <top style="hair">
        <color rgb="FFC00000"/>
      </top>
      <bottom style="medium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/>
      <top style="thin">
        <color rgb="FFC00000"/>
      </top>
      <bottom style="hair">
        <color rgb="FFC0000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 style="medium">
        <color rgb="FFC00000"/>
      </left>
      <right style="thin">
        <color rgb="FFC00000"/>
      </right>
      <top style="hair">
        <color rgb="FFC00000"/>
      </top>
      <bottom/>
      <diagonal/>
    </border>
    <border>
      <left style="thin">
        <color rgb="FFC00000"/>
      </left>
      <right style="thin">
        <color rgb="FFC00000"/>
      </right>
      <top style="hair">
        <color rgb="FFC00000"/>
      </top>
      <bottom/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rgb="FFC00000"/>
      </left>
      <right style="thin">
        <color rgb="FFC00000"/>
      </right>
      <top style="medium">
        <color rgb="FFC00000"/>
      </top>
      <bottom/>
      <diagonal/>
    </border>
    <border>
      <left style="medium">
        <color rgb="FFC00000"/>
      </left>
      <right style="thin">
        <color rgb="FFC00000"/>
      </right>
      <top/>
      <bottom style="double">
        <color rgb="FFC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2" tint="-0.24994659260841701"/>
      </left>
      <right/>
      <top style="medium">
        <color theme="2" tint="-0.24994659260841701"/>
      </top>
      <bottom/>
      <diagonal/>
    </border>
    <border>
      <left/>
      <right/>
      <top style="medium">
        <color theme="2" tint="-0.24994659260841701"/>
      </top>
      <bottom/>
      <diagonal/>
    </border>
    <border>
      <left/>
      <right style="medium">
        <color theme="2" tint="-0.24994659260841701"/>
      </right>
      <top style="medium">
        <color theme="2" tint="-0.24994659260841701"/>
      </top>
      <bottom/>
      <diagonal/>
    </border>
    <border>
      <left style="medium">
        <color theme="2" tint="-0.24994659260841701"/>
      </left>
      <right/>
      <top/>
      <bottom/>
      <diagonal/>
    </border>
    <border>
      <left/>
      <right style="medium">
        <color theme="2" tint="-0.24994659260841701"/>
      </right>
      <top/>
      <bottom/>
      <diagonal/>
    </border>
    <border>
      <left style="medium">
        <color theme="2" tint="-0.24994659260841701"/>
      </left>
      <right/>
      <top/>
      <bottom style="medium">
        <color theme="2" tint="-0.24994659260841701"/>
      </bottom>
      <diagonal/>
    </border>
    <border>
      <left/>
      <right/>
      <top/>
      <bottom style="medium">
        <color theme="2" tint="-0.24994659260841701"/>
      </bottom>
      <diagonal/>
    </border>
    <border>
      <left/>
      <right style="medium">
        <color theme="2" tint="-0.24994659260841701"/>
      </right>
      <top/>
      <bottom style="medium">
        <color theme="2" tint="-0.24994659260841701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medium">
        <color theme="0" tint="-0.34998626667073579"/>
      </top>
      <bottom style="hair">
        <color theme="0" tint="-0.34998626667073579"/>
      </bottom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hair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/>
      <diagonal/>
    </border>
    <border>
      <left style="medium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thin">
        <color theme="0" tint="-0.34998626667073579"/>
      </left>
      <right style="medium">
        <color theme="0" tint="-0.34998626667073579"/>
      </right>
      <top style="hair">
        <color theme="0" tint="-0.34998626667073579"/>
      </top>
      <bottom style="medium">
        <color theme="0" tint="-0.34998626667073579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/>
      <top style="hair">
        <color rgb="FF0070C0"/>
      </top>
      <bottom style="medium">
        <color rgb="FF0070C0"/>
      </bottom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/>
      <top style="hair">
        <color rgb="FF0070C0"/>
      </top>
      <bottom style="hair">
        <color rgb="FF0070C0"/>
      </bottom>
      <diagonal/>
    </border>
    <border>
      <left style="medium">
        <color rgb="FF0070C0"/>
      </left>
      <right/>
      <top style="medium">
        <color rgb="FF0070C0"/>
      </top>
      <bottom/>
      <diagonal/>
    </border>
    <border>
      <left/>
      <right/>
      <top style="medium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thin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thin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thin">
        <color rgb="FFC00000"/>
      </left>
      <right/>
      <top style="medium">
        <color rgb="FFC00000"/>
      </top>
      <bottom/>
      <diagonal/>
    </border>
    <border>
      <left style="thin">
        <color rgb="FFC00000"/>
      </left>
      <right/>
      <top/>
      <bottom style="double">
        <color rgb="FFC00000"/>
      </bottom>
      <diagonal/>
    </border>
    <border>
      <left style="thin">
        <color rgb="FFC00000"/>
      </left>
      <right/>
      <top style="medium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/>
      <right style="medium">
        <color rgb="FFC00000"/>
      </right>
      <top/>
      <bottom style="double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hair">
        <color rgb="FFC00000"/>
      </bottom>
      <diagonal/>
    </border>
    <border>
      <left/>
      <right style="medium">
        <color rgb="FFC00000"/>
      </right>
      <top style="hair">
        <color rgb="FFC00000"/>
      </top>
      <bottom style="hair">
        <color rgb="FFC00000"/>
      </bottom>
      <diagonal/>
    </border>
    <border>
      <left/>
      <right style="medium">
        <color rgb="FFC00000"/>
      </right>
      <top style="hair">
        <color rgb="FFC00000"/>
      </top>
      <bottom/>
      <diagonal/>
    </border>
    <border>
      <left/>
      <right style="medium">
        <color rgb="FFC00000"/>
      </right>
      <top style="hair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ouble">
        <color rgb="FFC00000"/>
      </bottom>
      <diagonal/>
    </border>
  </borders>
  <cellStyleXfs count="177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15">
    <xf numFmtId="0" fontId="0" fillId="0" borderId="0" xfId="0"/>
    <xf numFmtId="0" fontId="7" fillId="0" borderId="0" xfId="0" applyFont="1" applyProtection="1">
      <protection hidden="1"/>
    </xf>
    <xf numFmtId="0" fontId="7" fillId="0" borderId="0" xfId="0" applyFont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4" fillId="0" borderId="0" xfId="0" applyFont="1" applyProtection="1">
      <protection hidden="1"/>
    </xf>
    <xf numFmtId="0" fontId="9" fillId="0" borderId="0" xfId="0" applyFont="1" applyAlignment="1" applyProtection="1">
      <alignment horizontal="right"/>
      <protection hidden="1"/>
    </xf>
    <xf numFmtId="164" fontId="0" fillId="0" borderId="0" xfId="0" applyNumberFormat="1" applyProtection="1">
      <protection hidden="1"/>
    </xf>
    <xf numFmtId="0" fontId="0" fillId="0" borderId="0" xfId="0" applyAlignment="1" applyProtection="1">
      <alignment vertical="center"/>
      <protection hidden="1"/>
    </xf>
    <xf numFmtId="16" fontId="7" fillId="0" borderId="0" xfId="0" applyNumberFormat="1" applyFont="1" applyProtection="1">
      <protection hidden="1"/>
    </xf>
    <xf numFmtId="0" fontId="3" fillId="0" borderId="0" xfId="0" applyFont="1" applyAlignment="1" applyProtection="1">
      <alignment vertical="center"/>
      <protection hidden="1"/>
    </xf>
    <xf numFmtId="0" fontId="9" fillId="0" borderId="4" xfId="0" applyFont="1" applyBorder="1" applyAlignment="1" applyProtection="1">
      <alignment horizontal="center" vertical="center"/>
      <protection hidden="1"/>
    </xf>
    <xf numFmtId="0" fontId="7" fillId="0" borderId="0" xfId="0" applyFont="1" applyAlignment="1" applyProtection="1">
      <alignment horizontal="right" vertical="center"/>
      <protection hidden="1"/>
    </xf>
    <xf numFmtId="0" fontId="7" fillId="0" borderId="0" xfId="0" applyFont="1" applyAlignment="1" applyProtection="1">
      <alignment vertical="center"/>
      <protection hidden="1"/>
    </xf>
    <xf numFmtId="0" fontId="15" fillId="0" borderId="0" xfId="0" applyFont="1" applyProtection="1">
      <protection hidden="1"/>
    </xf>
    <xf numFmtId="0" fontId="0" fillId="0" borderId="0" xfId="0" applyAlignment="1" applyProtection="1">
      <alignment horizontal="center"/>
      <protection hidden="1"/>
    </xf>
    <xf numFmtId="0" fontId="19" fillId="0" borderId="0" xfId="0" applyFont="1" applyAlignment="1" applyProtection="1">
      <alignment vertical="center"/>
      <protection hidden="1"/>
    </xf>
    <xf numFmtId="0" fontId="17" fillId="0" borderId="0" xfId="0" applyFont="1" applyAlignment="1" applyProtection="1">
      <alignment vertical="center"/>
      <protection hidden="1"/>
    </xf>
    <xf numFmtId="0" fontId="18" fillId="0" borderId="2" xfId="0" applyFont="1" applyBorder="1" applyAlignment="1" applyProtection="1">
      <alignment horizontal="right" vertical="center"/>
      <protection hidden="1"/>
    </xf>
    <xf numFmtId="173" fontId="6" fillId="2" borderId="1" xfId="0" applyNumberFormat="1" applyFont="1" applyFill="1" applyBorder="1" applyAlignment="1" applyProtection="1">
      <alignment horizontal="right" vertical="center"/>
      <protection locked="0"/>
    </xf>
    <xf numFmtId="0" fontId="9" fillId="0" borderId="0" xfId="0" applyFont="1" applyAlignment="1" applyProtection="1">
      <alignment horizontal="right" vertical="center"/>
      <protection hidden="1"/>
    </xf>
    <xf numFmtId="0" fontId="6" fillId="0" borderId="6" xfId="0" applyFont="1" applyBorder="1" applyAlignment="1" applyProtection="1">
      <alignment horizontal="right"/>
      <protection hidden="1"/>
    </xf>
    <xf numFmtId="0" fontId="6" fillId="0" borderId="7" xfId="0" applyFont="1" applyBorder="1" applyAlignment="1" applyProtection="1">
      <alignment horizontal="right"/>
      <protection hidden="1"/>
    </xf>
    <xf numFmtId="177" fontId="6" fillId="2" borderId="3" xfId="0" applyNumberFormat="1" applyFont="1" applyFill="1" applyBorder="1" applyAlignment="1" applyProtection="1">
      <alignment horizontal="center" vertical="center"/>
      <protection locked="0"/>
    </xf>
    <xf numFmtId="165" fontId="20" fillId="0" borderId="4" xfId="0" applyNumberFormat="1" applyFont="1" applyBorder="1" applyAlignment="1" applyProtection="1">
      <alignment horizontal="center" vertical="center"/>
      <protection hidden="1"/>
    </xf>
    <xf numFmtId="165" fontId="5" fillId="0" borderId="0" xfId="0" applyNumberFormat="1" applyFont="1" applyAlignment="1" applyProtection="1">
      <alignment vertical="center"/>
      <protection hidden="1"/>
    </xf>
    <xf numFmtId="0" fontId="5" fillId="0" borderId="0" xfId="0" applyFont="1" applyProtection="1">
      <protection hidden="1"/>
    </xf>
    <xf numFmtId="2" fontId="5" fillId="0" borderId="0" xfId="0" applyNumberFormat="1" applyFont="1" applyProtection="1">
      <protection hidden="1"/>
    </xf>
    <xf numFmtId="0" fontId="15" fillId="0" borderId="0" xfId="0" applyFont="1" applyAlignment="1" applyProtection="1">
      <alignment vertical="center"/>
      <protection hidden="1"/>
    </xf>
    <xf numFmtId="2" fontId="7" fillId="0" borderId="0" xfId="0" applyNumberFormat="1" applyFont="1" applyProtection="1">
      <protection hidden="1"/>
    </xf>
    <xf numFmtId="0" fontId="7" fillId="0" borderId="39" xfId="0" applyFont="1" applyBorder="1" applyProtection="1">
      <protection hidden="1"/>
    </xf>
    <xf numFmtId="0" fontId="5" fillId="0" borderId="24" xfId="0" applyFont="1" applyBorder="1" applyProtection="1">
      <protection hidden="1"/>
    </xf>
    <xf numFmtId="168" fontId="6" fillId="0" borderId="41" xfId="0" applyNumberFormat="1" applyFont="1" applyBorder="1" applyAlignment="1" applyProtection="1">
      <alignment horizontal="right"/>
      <protection hidden="1"/>
    </xf>
    <xf numFmtId="173" fontId="6" fillId="0" borderId="43" xfId="0" applyNumberFormat="1" applyFont="1" applyBorder="1" applyAlignment="1" applyProtection="1">
      <alignment horizontal="right"/>
      <protection hidden="1"/>
    </xf>
    <xf numFmtId="177" fontId="6" fillId="2" borderId="18" xfId="0" applyNumberFormat="1" applyFont="1" applyFill="1" applyBorder="1" applyAlignment="1" applyProtection="1">
      <alignment horizontal="center"/>
      <protection locked="0"/>
    </xf>
    <xf numFmtId="177" fontId="6" fillId="2" borderId="8" xfId="0" applyNumberFormat="1" applyFont="1" applyFill="1" applyBorder="1" applyAlignment="1" applyProtection="1">
      <alignment horizontal="center"/>
      <protection locked="0"/>
    </xf>
    <xf numFmtId="0" fontId="6" fillId="0" borderId="53" xfId="0" applyFont="1" applyBorder="1" applyAlignment="1" applyProtection="1">
      <alignment horizontal="right" vertical="center"/>
      <protection hidden="1"/>
    </xf>
    <xf numFmtId="166" fontId="6" fillId="2" borderId="23" xfId="0" applyNumberFormat="1" applyFont="1" applyFill="1" applyBorder="1" applyAlignment="1" applyProtection="1">
      <alignment horizontal="center"/>
      <protection locked="0"/>
    </xf>
    <xf numFmtId="166" fontId="6" fillId="2" borderId="22" xfId="0" applyNumberFormat="1" applyFont="1" applyFill="1" applyBorder="1" applyAlignment="1" applyProtection="1">
      <alignment horizontal="center"/>
      <protection locked="0"/>
    </xf>
    <xf numFmtId="166" fontId="5" fillId="2" borderId="9" xfId="0" applyNumberFormat="1" applyFont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right" vertical="center"/>
      <protection hidden="1"/>
    </xf>
    <xf numFmtId="0" fontId="14" fillId="0" borderId="2" xfId="0" applyFont="1" applyBorder="1" applyProtection="1">
      <protection hidden="1"/>
    </xf>
    <xf numFmtId="0" fontId="18" fillId="0" borderId="3" xfId="0" applyFont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horizontal="right" vertical="center"/>
      <protection hidden="1"/>
    </xf>
    <xf numFmtId="0" fontId="12" fillId="0" borderId="0" xfId="0" applyFont="1" applyAlignment="1" applyProtection="1">
      <alignment vertical="center"/>
      <protection hidden="1"/>
    </xf>
    <xf numFmtId="0" fontId="8" fillId="0" borderId="0" xfId="0" applyFont="1" applyAlignment="1" applyProtection="1">
      <alignment horizontal="center" vertical="center"/>
      <protection hidden="1"/>
    </xf>
    <xf numFmtId="167" fontId="15" fillId="0" borderId="0" xfId="0" applyNumberFormat="1" applyFont="1" applyAlignment="1" applyProtection="1">
      <alignment horizontal="left" vertical="center"/>
      <protection hidden="1"/>
    </xf>
    <xf numFmtId="1" fontId="7" fillId="0" borderId="0" xfId="0" applyNumberFormat="1" applyFont="1" applyAlignment="1" applyProtection="1">
      <alignment horizontal="center" vertical="center"/>
      <protection hidden="1"/>
    </xf>
    <xf numFmtId="0" fontId="5" fillId="0" borderId="35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right" vertical="center"/>
      <protection hidden="1"/>
    </xf>
    <xf numFmtId="0" fontId="5" fillId="0" borderId="38" xfId="0" applyFont="1" applyBorder="1" applyAlignment="1" applyProtection="1">
      <alignment vertical="center"/>
      <protection hidden="1"/>
    </xf>
    <xf numFmtId="0" fontId="7" fillId="0" borderId="32" xfId="0" applyFont="1" applyBorder="1" applyAlignment="1" applyProtection="1">
      <alignment vertical="center"/>
      <protection hidden="1"/>
    </xf>
    <xf numFmtId="176" fontId="5" fillId="0" borderId="32" xfId="0" applyNumberFormat="1" applyFont="1" applyBorder="1" applyAlignment="1" applyProtection="1">
      <alignment horizontal="left" vertical="center"/>
      <protection hidden="1"/>
    </xf>
    <xf numFmtId="0" fontId="7" fillId="0" borderId="36" xfId="0" applyFont="1" applyBorder="1" applyAlignment="1" applyProtection="1">
      <alignment vertical="center"/>
      <protection hidden="1"/>
    </xf>
    <xf numFmtId="0" fontId="7" fillId="0" borderId="30" xfId="0" applyFont="1" applyBorder="1" applyAlignment="1" applyProtection="1">
      <alignment vertical="center"/>
      <protection hidden="1"/>
    </xf>
    <xf numFmtId="0" fontId="7" fillId="0" borderId="33" xfId="0" applyFont="1" applyBorder="1" applyAlignment="1" applyProtection="1">
      <alignment vertical="center"/>
      <protection hidden="1"/>
    </xf>
    <xf numFmtId="0" fontId="5" fillId="0" borderId="15" xfId="0" applyFont="1" applyBorder="1" applyAlignment="1" applyProtection="1">
      <alignment horizontal="center"/>
      <protection hidden="1"/>
    </xf>
    <xf numFmtId="0" fontId="5" fillId="0" borderId="25" xfId="0" applyFont="1" applyBorder="1" applyAlignment="1" applyProtection="1">
      <alignment horizontal="center"/>
      <protection hidden="1"/>
    </xf>
    <xf numFmtId="173" fontId="6" fillId="0" borderId="50" xfId="0" applyNumberFormat="1" applyFont="1" applyBorder="1" applyProtection="1">
      <protection hidden="1"/>
    </xf>
    <xf numFmtId="173" fontId="5" fillId="2" borderId="41" xfId="0" applyNumberFormat="1" applyFont="1" applyFill="1" applyBorder="1" applyAlignment="1" applyProtection="1">
      <alignment horizontal="center" vertical="center"/>
      <protection locked="0"/>
    </xf>
    <xf numFmtId="0" fontId="5" fillId="0" borderId="54" xfId="0" applyFont="1" applyBorder="1" applyAlignment="1" applyProtection="1">
      <alignment horizontal="left" vertical="center"/>
      <protection hidden="1"/>
    </xf>
    <xf numFmtId="0" fontId="7" fillId="0" borderId="0" xfId="0" applyFont="1" applyAlignment="1" applyProtection="1">
      <alignment horizontal="center" vertical="center"/>
      <protection hidden="1"/>
    </xf>
    <xf numFmtId="0" fontId="26" fillId="0" borderId="0" xfId="0" applyFont="1" applyAlignment="1" applyProtection="1">
      <alignment horizontal="right" vertical="center"/>
      <protection hidden="1"/>
    </xf>
    <xf numFmtId="0" fontId="6" fillId="0" borderId="42" xfId="0" applyFont="1" applyBorder="1" applyAlignment="1" applyProtection="1">
      <alignment horizontal="right" vertical="center"/>
      <protection hidden="1"/>
    </xf>
    <xf numFmtId="0" fontId="6" fillId="0" borderId="45" xfId="0" applyFont="1" applyBorder="1" applyAlignment="1" applyProtection="1">
      <alignment horizontal="right" vertical="center"/>
      <protection hidden="1"/>
    </xf>
    <xf numFmtId="0" fontId="0" fillId="0" borderId="45" xfId="0" applyBorder="1" applyAlignment="1" applyProtection="1">
      <alignment horizontal="right" vertical="center"/>
      <protection hidden="1"/>
    </xf>
    <xf numFmtId="0" fontId="6" fillId="0" borderId="49" xfId="0" applyFont="1" applyBorder="1" applyAlignment="1" applyProtection="1">
      <alignment horizontal="right" vertical="center"/>
      <protection hidden="1"/>
    </xf>
    <xf numFmtId="0" fontId="26" fillId="0" borderId="0" xfId="0" applyFont="1" applyAlignment="1" applyProtection="1">
      <alignment horizontal="center" vertical="center"/>
      <protection hidden="1"/>
    </xf>
    <xf numFmtId="168" fontId="8" fillId="0" borderId="0" xfId="0" applyNumberFormat="1" applyFont="1" applyAlignment="1" applyProtection="1">
      <alignment horizontal="left" vertical="center"/>
      <protection hidden="1"/>
    </xf>
    <xf numFmtId="0" fontId="5" fillId="0" borderId="1" xfId="0" applyFont="1" applyBorder="1" applyAlignment="1" applyProtection="1">
      <alignment horizontal="right" vertical="center"/>
      <protection hidden="1"/>
    </xf>
    <xf numFmtId="0" fontId="0" fillId="0" borderId="59" xfId="0" applyBorder="1" applyAlignment="1" applyProtection="1">
      <alignment horizontal="right"/>
      <protection hidden="1"/>
    </xf>
    <xf numFmtId="0" fontId="5" fillId="0" borderId="65" xfId="0" applyFont="1" applyBorder="1" applyAlignment="1" applyProtection="1">
      <alignment horizontal="center"/>
      <protection hidden="1"/>
    </xf>
    <xf numFmtId="0" fontId="5" fillId="0" borderId="67" xfId="0" applyFont="1" applyBorder="1" applyAlignment="1" applyProtection="1">
      <alignment horizontal="center"/>
      <protection hidden="1"/>
    </xf>
    <xf numFmtId="0" fontId="0" fillId="0" borderId="55" xfId="0" applyBorder="1" applyAlignment="1" applyProtection="1">
      <alignment horizontal="center" vertical="center"/>
      <protection hidden="1"/>
    </xf>
    <xf numFmtId="0" fontId="0" fillId="0" borderId="56" xfId="0" applyBorder="1" applyAlignment="1" applyProtection="1">
      <alignment horizontal="center" vertical="center"/>
      <protection hidden="1"/>
    </xf>
    <xf numFmtId="0" fontId="28" fillId="0" borderId="0" xfId="0" applyFont="1" applyProtection="1">
      <protection hidden="1"/>
    </xf>
    <xf numFmtId="0" fontId="29" fillId="0" borderId="0" xfId="0" applyFont="1" applyProtection="1">
      <protection hidden="1"/>
    </xf>
    <xf numFmtId="0" fontId="33" fillId="0" borderId="60" xfId="0" applyFont="1" applyBorder="1" applyAlignment="1" applyProtection="1">
      <alignment horizontal="right"/>
      <protection hidden="1"/>
    </xf>
    <xf numFmtId="172" fontId="5" fillId="0" borderId="37" xfId="0" applyNumberFormat="1" applyFont="1" applyBorder="1" applyAlignment="1" applyProtection="1">
      <alignment horizontal="right" vertical="center"/>
      <protection hidden="1"/>
    </xf>
    <xf numFmtId="176" fontId="5" fillId="0" borderId="31" xfId="0" applyNumberFormat="1" applyFont="1" applyBorder="1" applyAlignment="1" applyProtection="1">
      <alignment horizontal="right" vertical="center"/>
      <protection hidden="1"/>
    </xf>
    <xf numFmtId="177" fontId="5" fillId="0" borderId="31" xfId="0" applyNumberFormat="1" applyFont="1" applyBorder="1" applyAlignment="1" applyProtection="1">
      <alignment horizontal="right" vertical="center"/>
      <protection hidden="1"/>
    </xf>
    <xf numFmtId="2" fontId="5" fillId="0" borderId="31" xfId="0" applyNumberFormat="1" applyFont="1" applyBorder="1" applyAlignment="1" applyProtection="1">
      <alignment horizontal="right" vertical="center"/>
      <protection hidden="1"/>
    </xf>
    <xf numFmtId="173" fontId="5" fillId="0" borderId="31" xfId="0" applyNumberFormat="1" applyFont="1" applyBorder="1" applyAlignment="1" applyProtection="1">
      <alignment horizontal="right" vertical="center"/>
      <protection hidden="1"/>
    </xf>
    <xf numFmtId="0" fontId="5" fillId="0" borderId="32" xfId="0" applyFont="1" applyBorder="1" applyAlignment="1" applyProtection="1">
      <alignment horizontal="left" vertical="center"/>
      <protection hidden="1"/>
    </xf>
    <xf numFmtId="0" fontId="5" fillId="0" borderId="35" xfId="0" applyFont="1" applyBorder="1" applyAlignment="1" applyProtection="1">
      <alignment horizontal="left" vertical="center"/>
      <protection hidden="1"/>
    </xf>
    <xf numFmtId="0" fontId="14" fillId="0" borderId="0" xfId="0" applyFont="1" applyAlignment="1">
      <alignment vertical="center"/>
    </xf>
    <xf numFmtId="0" fontId="6" fillId="0" borderId="0" xfId="0" applyFont="1"/>
    <xf numFmtId="0" fontId="6" fillId="0" borderId="70" xfId="0" applyFont="1" applyBorder="1" applyAlignment="1" applyProtection="1">
      <alignment horizontal="center"/>
      <protection hidden="1"/>
    </xf>
    <xf numFmtId="0" fontId="6" fillId="0" borderId="73" xfId="0" applyFont="1" applyBorder="1" applyAlignment="1" applyProtection="1">
      <alignment horizontal="center"/>
      <protection hidden="1"/>
    </xf>
    <xf numFmtId="165" fontId="6" fillId="0" borderId="84" xfId="0" applyNumberFormat="1" applyFont="1" applyBorder="1" applyAlignment="1" applyProtection="1">
      <alignment horizontal="center"/>
      <protection hidden="1"/>
    </xf>
    <xf numFmtId="165" fontId="6" fillId="0" borderId="85" xfId="0" applyNumberFormat="1" applyFont="1" applyBorder="1" applyAlignment="1" applyProtection="1">
      <alignment horizontal="center"/>
      <protection hidden="1"/>
    </xf>
    <xf numFmtId="0" fontId="15" fillId="0" borderId="0" xfId="0" applyFont="1" applyAlignment="1" applyProtection="1">
      <alignment vertical="top"/>
      <protection hidden="1"/>
    </xf>
    <xf numFmtId="0" fontId="33" fillId="0" borderId="59" xfId="0" applyFont="1" applyBorder="1" applyAlignment="1" applyProtection="1">
      <alignment horizontal="right"/>
      <protection hidden="1"/>
    </xf>
    <xf numFmtId="0" fontId="0" fillId="0" borderId="0" xfId="0" applyAlignment="1">
      <alignment horizontal="left"/>
    </xf>
    <xf numFmtId="0" fontId="0" fillId="0" borderId="0" xfId="0" applyAlignment="1" applyProtection="1">
      <alignment horizontal="left" vertical="center"/>
      <protection hidden="1"/>
    </xf>
    <xf numFmtId="0" fontId="23" fillId="0" borderId="68" xfId="0" applyFont="1" applyBorder="1" applyAlignment="1" applyProtection="1">
      <alignment horizontal="right"/>
      <protection hidden="1"/>
    </xf>
    <xf numFmtId="167" fontId="5" fillId="0" borderId="89" xfId="0" applyNumberFormat="1" applyFont="1" applyBorder="1" applyAlignment="1" applyProtection="1">
      <alignment horizontal="center" vertical="center"/>
      <protection hidden="1"/>
    </xf>
    <xf numFmtId="0" fontId="21" fillId="0" borderId="90" xfId="0" applyFont="1" applyBorder="1" applyAlignment="1" applyProtection="1">
      <alignment horizontal="center" vertical="center"/>
      <protection hidden="1"/>
    </xf>
    <xf numFmtId="0" fontId="27" fillId="0" borderId="0" xfId="0" applyFont="1" applyProtection="1">
      <protection hidden="1"/>
    </xf>
    <xf numFmtId="179" fontId="21" fillId="0" borderId="34" xfId="0" applyNumberFormat="1" applyFont="1" applyBorder="1" applyAlignment="1" applyProtection="1">
      <alignment horizontal="right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top"/>
      <protection hidden="1"/>
    </xf>
    <xf numFmtId="0" fontId="27" fillId="0" borderId="0" xfId="0" applyFont="1" applyAlignment="1" applyProtection="1">
      <alignment horizontal="center" vertical="center"/>
      <protection hidden="1"/>
    </xf>
    <xf numFmtId="173" fontId="5" fillId="0" borderId="95" xfId="0" applyNumberFormat="1" applyFont="1" applyBorder="1" applyAlignment="1" applyProtection="1">
      <alignment horizontal="center" vertical="center"/>
      <protection hidden="1"/>
    </xf>
    <xf numFmtId="0" fontId="5" fillId="0" borderId="95" xfId="0" applyFont="1" applyBorder="1" applyAlignment="1" applyProtection="1">
      <alignment vertical="center"/>
      <protection hidden="1"/>
    </xf>
    <xf numFmtId="0" fontId="5" fillId="0" borderId="96" xfId="0" applyFont="1" applyBorder="1" applyAlignment="1" applyProtection="1">
      <alignment vertical="center"/>
      <protection hidden="1"/>
    </xf>
    <xf numFmtId="166" fontId="5" fillId="0" borderId="0" xfId="0" applyNumberFormat="1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vertical="center"/>
      <protection hidden="1"/>
    </xf>
    <xf numFmtId="0" fontId="5" fillId="0" borderId="98" xfId="0" applyFont="1" applyBorder="1" applyAlignment="1" applyProtection="1">
      <alignment horizontal="center" vertical="center"/>
      <protection hidden="1"/>
    </xf>
    <xf numFmtId="166" fontId="5" fillId="0" borderId="0" xfId="0" applyNumberFormat="1" applyFont="1" applyAlignment="1" applyProtection="1">
      <alignment horizontal="left" vertical="center"/>
      <protection hidden="1"/>
    </xf>
    <xf numFmtId="174" fontId="5" fillId="0" borderId="98" xfId="0" applyNumberFormat="1" applyFont="1" applyBorder="1" applyAlignment="1" applyProtection="1">
      <alignment horizontal="center" vertical="center"/>
      <protection hidden="1"/>
    </xf>
    <xf numFmtId="166" fontId="0" fillId="0" borderId="0" xfId="0" applyNumberFormat="1" applyProtection="1">
      <protection hidden="1"/>
    </xf>
    <xf numFmtId="0" fontId="5" fillId="0" borderId="97" xfId="0" applyFont="1" applyBorder="1" applyProtection="1">
      <protection hidden="1"/>
    </xf>
    <xf numFmtId="0" fontId="5" fillId="0" borderId="0" xfId="0" applyFont="1" applyAlignment="1" applyProtection="1">
      <alignment horizontal="right"/>
      <protection hidden="1"/>
    </xf>
    <xf numFmtId="172" fontId="5" fillId="0" borderId="0" xfId="0" applyNumberFormat="1" applyFont="1" applyAlignment="1" applyProtection="1">
      <alignment horizontal="center" vertical="center"/>
      <protection hidden="1"/>
    </xf>
    <xf numFmtId="0" fontId="5" fillId="0" borderId="98" xfId="0" applyFont="1" applyBorder="1" applyProtection="1">
      <protection hidden="1"/>
    </xf>
    <xf numFmtId="0" fontId="0" fillId="0" borderId="97" xfId="0" applyBorder="1" applyProtection="1">
      <protection hidden="1"/>
    </xf>
    <xf numFmtId="0" fontId="0" fillId="0" borderId="0" xfId="0" applyAlignment="1" applyProtection="1">
      <alignment horizontal="right"/>
      <protection hidden="1"/>
    </xf>
    <xf numFmtId="0" fontId="0" fillId="0" borderId="98" xfId="0" applyBorder="1" applyProtection="1">
      <protection hidden="1"/>
    </xf>
    <xf numFmtId="0" fontId="0" fillId="0" borderId="99" xfId="0" applyBorder="1" applyProtection="1">
      <protection hidden="1"/>
    </xf>
    <xf numFmtId="0" fontId="0" fillId="0" borderId="100" xfId="0" applyBorder="1" applyProtection="1">
      <protection hidden="1"/>
    </xf>
    <xf numFmtId="0" fontId="0" fillId="0" borderId="100" xfId="0" applyBorder="1" applyAlignment="1" applyProtection="1">
      <alignment horizontal="right"/>
      <protection hidden="1"/>
    </xf>
    <xf numFmtId="0" fontId="0" fillId="0" borderId="100" xfId="0" applyBorder="1" applyAlignment="1" applyProtection="1">
      <alignment horizontal="center"/>
      <protection hidden="1"/>
    </xf>
    <xf numFmtId="0" fontId="0" fillId="0" borderId="101" xfId="0" applyBorder="1" applyProtection="1">
      <protection hidden="1"/>
    </xf>
    <xf numFmtId="0" fontId="38" fillId="0" borderId="102" xfId="0" applyFont="1" applyBorder="1" applyAlignment="1" applyProtection="1">
      <alignment horizontal="center"/>
      <protection hidden="1"/>
    </xf>
    <xf numFmtId="0" fontId="39" fillId="0" borderId="103" xfId="0" applyFont="1" applyBorder="1" applyAlignment="1" applyProtection="1">
      <alignment horizontal="center"/>
      <protection hidden="1"/>
    </xf>
    <xf numFmtId="0" fontId="40" fillId="0" borderId="103" xfId="0" applyFont="1" applyBorder="1" applyAlignment="1" applyProtection="1">
      <alignment horizontal="center"/>
      <protection hidden="1"/>
    </xf>
    <xf numFmtId="0" fontId="38" fillId="0" borderId="103" xfId="0" applyFont="1" applyBorder="1" applyAlignment="1" applyProtection="1">
      <alignment horizontal="center"/>
      <protection hidden="1"/>
    </xf>
    <xf numFmtId="181" fontId="5" fillId="0" borderId="105" xfId="0" applyNumberFormat="1" applyFont="1" applyBorder="1" applyAlignment="1" applyProtection="1">
      <alignment horizontal="center"/>
      <protection hidden="1"/>
    </xf>
    <xf numFmtId="2" fontId="0" fillId="0" borderId="106" xfId="0" applyNumberFormat="1" applyBorder="1" applyAlignment="1" applyProtection="1">
      <alignment horizontal="center"/>
      <protection hidden="1"/>
    </xf>
    <xf numFmtId="2" fontId="42" fillId="0" borderId="106" xfId="0" applyNumberFormat="1" applyFont="1" applyBorder="1" applyAlignment="1" applyProtection="1">
      <alignment horizontal="center"/>
      <protection hidden="1"/>
    </xf>
    <xf numFmtId="2" fontId="36" fillId="0" borderId="106" xfId="0" applyNumberFormat="1" applyFont="1" applyBorder="1" applyAlignment="1" applyProtection="1">
      <alignment horizontal="center"/>
      <protection hidden="1"/>
    </xf>
    <xf numFmtId="2" fontId="43" fillId="3" borderId="106" xfId="0" applyNumberFormat="1" applyFont="1" applyFill="1" applyBorder="1" applyAlignment="1" applyProtection="1">
      <alignment horizontal="center"/>
      <protection hidden="1"/>
    </xf>
    <xf numFmtId="0" fontId="0" fillId="0" borderId="107" xfId="0" applyBorder="1" applyProtection="1">
      <protection hidden="1"/>
    </xf>
    <xf numFmtId="181" fontId="6" fillId="0" borderId="108" xfId="0" applyNumberFormat="1" applyFont="1" applyBorder="1" applyAlignment="1" applyProtection="1">
      <alignment horizontal="center"/>
      <protection hidden="1"/>
    </xf>
    <xf numFmtId="2" fontId="6" fillId="0" borderId="109" xfId="0" applyNumberFormat="1" applyFont="1" applyBorder="1" applyAlignment="1" applyProtection="1">
      <alignment horizontal="center"/>
      <protection hidden="1"/>
    </xf>
    <xf numFmtId="2" fontId="44" fillId="0" borderId="109" xfId="0" applyNumberFormat="1" applyFont="1" applyBorder="1" applyAlignment="1" applyProtection="1">
      <alignment horizontal="center"/>
      <protection hidden="1"/>
    </xf>
    <xf numFmtId="2" fontId="45" fillId="0" borderId="109" xfId="0" applyNumberFormat="1" applyFont="1" applyBorder="1" applyAlignment="1" applyProtection="1">
      <alignment horizontal="center"/>
      <protection hidden="1"/>
    </xf>
    <xf numFmtId="2" fontId="46" fillId="3" borderId="109" xfId="0" applyNumberFormat="1" applyFont="1" applyFill="1" applyBorder="1" applyAlignment="1" applyProtection="1">
      <alignment horizontal="center"/>
      <protection hidden="1"/>
    </xf>
    <xf numFmtId="0" fontId="0" fillId="0" borderId="110" xfId="0" applyBorder="1" applyProtection="1">
      <protection hidden="1"/>
    </xf>
    <xf numFmtId="181" fontId="16" fillId="2" borderId="108" xfId="0" applyNumberFormat="1" applyFont="1" applyFill="1" applyBorder="1" applyAlignment="1" applyProtection="1">
      <alignment horizontal="center"/>
      <protection hidden="1"/>
    </xf>
    <xf numFmtId="2" fontId="6" fillId="2" borderId="109" xfId="0" applyNumberFormat="1" applyFont="1" applyFill="1" applyBorder="1" applyAlignment="1" applyProtection="1">
      <alignment horizontal="center"/>
      <protection hidden="1"/>
    </xf>
    <xf numFmtId="2" fontId="44" fillId="2" borderId="109" xfId="0" applyNumberFormat="1" applyFont="1" applyFill="1" applyBorder="1" applyAlignment="1" applyProtection="1">
      <alignment horizontal="center"/>
      <protection hidden="1"/>
    </xf>
    <xf numFmtId="2" fontId="45" fillId="2" borderId="109" xfId="0" applyNumberFormat="1" applyFont="1" applyFill="1" applyBorder="1" applyAlignment="1" applyProtection="1">
      <alignment horizontal="center"/>
      <protection hidden="1"/>
    </xf>
    <xf numFmtId="2" fontId="46" fillId="2" borderId="109" xfId="0" applyNumberFormat="1" applyFont="1" applyFill="1" applyBorder="1" applyAlignment="1" applyProtection="1">
      <alignment horizontal="center"/>
      <protection hidden="1"/>
    </xf>
    <xf numFmtId="0" fontId="0" fillId="0" borderId="111" xfId="0" applyBorder="1" applyProtection="1">
      <protection hidden="1"/>
    </xf>
    <xf numFmtId="181" fontId="6" fillId="0" borderId="105" xfId="0" applyNumberFormat="1" applyFont="1" applyBorder="1" applyAlignment="1" applyProtection="1">
      <alignment horizontal="center"/>
      <protection hidden="1"/>
    </xf>
    <xf numFmtId="182" fontId="6" fillId="0" borderId="106" xfId="0" applyNumberFormat="1" applyFont="1" applyBorder="1" applyAlignment="1" applyProtection="1">
      <alignment horizontal="center"/>
      <protection hidden="1"/>
    </xf>
    <xf numFmtId="0" fontId="6" fillId="0" borderId="106" xfId="0" applyFont="1" applyBorder="1" applyAlignment="1" applyProtection="1">
      <alignment horizontal="center"/>
      <protection hidden="1"/>
    </xf>
    <xf numFmtId="2" fontId="6" fillId="0" borderId="106" xfId="0" applyNumberFormat="1" applyFont="1" applyBorder="1" applyAlignment="1" applyProtection="1">
      <alignment horizontal="center"/>
      <protection hidden="1"/>
    </xf>
    <xf numFmtId="0" fontId="44" fillId="0" borderId="106" xfId="0" applyFont="1" applyBorder="1" applyAlignment="1" applyProtection="1">
      <alignment horizontal="center"/>
      <protection hidden="1"/>
    </xf>
    <xf numFmtId="0" fontId="45" fillId="0" borderId="106" xfId="0" applyFont="1" applyBorder="1" applyAlignment="1" applyProtection="1">
      <alignment horizontal="center"/>
      <protection hidden="1"/>
    </xf>
    <xf numFmtId="0" fontId="0" fillId="3" borderId="106" xfId="0" applyFill="1" applyBorder="1" applyProtection="1">
      <protection hidden="1"/>
    </xf>
    <xf numFmtId="2" fontId="47" fillId="0" borderId="107" xfId="0" applyNumberFormat="1" applyFont="1" applyBorder="1" applyAlignment="1" applyProtection="1">
      <alignment horizontal="center"/>
      <protection hidden="1"/>
    </xf>
    <xf numFmtId="181" fontId="6" fillId="0" borderId="112" xfId="0" applyNumberFormat="1" applyFont="1" applyBorder="1" applyAlignment="1" applyProtection="1">
      <alignment horizontal="center"/>
      <protection hidden="1"/>
    </xf>
    <xf numFmtId="0" fontId="6" fillId="0" borderId="113" xfId="0" applyFont="1" applyBorder="1" applyAlignment="1" applyProtection="1">
      <alignment horizontal="center"/>
      <protection hidden="1"/>
    </xf>
    <xf numFmtId="2" fontId="6" fillId="0" borderId="113" xfId="0" applyNumberFormat="1" applyFont="1" applyBorder="1" applyAlignment="1" applyProtection="1">
      <alignment horizontal="center"/>
      <protection hidden="1"/>
    </xf>
    <xf numFmtId="0" fontId="44" fillId="0" borderId="113" xfId="0" applyFont="1" applyBorder="1" applyAlignment="1" applyProtection="1">
      <alignment horizontal="center"/>
      <protection hidden="1"/>
    </xf>
    <xf numFmtId="0" fontId="45" fillId="0" borderId="113" xfId="0" applyFont="1" applyBorder="1" applyAlignment="1" applyProtection="1">
      <alignment horizontal="center"/>
      <protection hidden="1"/>
    </xf>
    <xf numFmtId="0" fontId="0" fillId="3" borderId="113" xfId="0" applyFill="1" applyBorder="1" applyProtection="1">
      <protection hidden="1"/>
    </xf>
    <xf numFmtId="2" fontId="47" fillId="0" borderId="114" xfId="0" applyNumberFormat="1" applyFont="1" applyBorder="1" applyAlignment="1" applyProtection="1">
      <alignment horizontal="center"/>
      <protection hidden="1"/>
    </xf>
    <xf numFmtId="0" fontId="22" fillId="0" borderId="103" xfId="0" applyFont="1" applyBorder="1" applyAlignment="1" applyProtection="1">
      <alignment horizontal="center" vertical="center"/>
      <protection hidden="1"/>
    </xf>
    <xf numFmtId="0" fontId="41" fillId="0" borderId="104" xfId="0" applyFont="1" applyBorder="1" applyAlignment="1" applyProtection="1">
      <alignment horizontal="center" vertical="center"/>
      <protection hidden="1"/>
    </xf>
    <xf numFmtId="165" fontId="6" fillId="0" borderId="81" xfId="0" applyNumberFormat="1" applyFont="1" applyBorder="1" applyAlignment="1" applyProtection="1">
      <alignment horizontal="right"/>
      <protection hidden="1"/>
    </xf>
    <xf numFmtId="165" fontId="6" fillId="0" borderId="82" xfId="0" applyNumberFormat="1" applyFont="1" applyBorder="1" applyAlignment="1" applyProtection="1">
      <alignment horizontal="right"/>
      <protection hidden="1"/>
    </xf>
    <xf numFmtId="0" fontId="0" fillId="0" borderId="74" xfId="0" applyBorder="1" applyAlignment="1">
      <alignment horizontal="right"/>
    </xf>
    <xf numFmtId="164" fontId="6" fillId="0" borderId="75" xfId="0" applyNumberFormat="1" applyFont="1" applyBorder="1" applyAlignment="1">
      <alignment horizontal="right"/>
    </xf>
    <xf numFmtId="164" fontId="6" fillId="0" borderId="76" xfId="0" applyNumberFormat="1" applyFont="1" applyBorder="1" applyAlignment="1">
      <alignment horizontal="right"/>
    </xf>
    <xf numFmtId="0" fontId="10" fillId="0" borderId="74" xfId="0" applyFont="1" applyBorder="1" applyAlignment="1">
      <alignment horizontal="right"/>
    </xf>
    <xf numFmtId="0" fontId="10" fillId="0" borderId="86" xfId="0" applyFont="1" applyBorder="1" applyAlignment="1">
      <alignment horizontal="right"/>
    </xf>
    <xf numFmtId="164" fontId="6" fillId="0" borderId="87" xfId="0" applyNumberFormat="1" applyFont="1" applyBorder="1" applyAlignment="1">
      <alignment horizontal="right"/>
    </xf>
    <xf numFmtId="164" fontId="6" fillId="0" borderId="88" xfId="0" applyNumberFormat="1" applyFont="1" applyBorder="1" applyAlignment="1">
      <alignment horizontal="right"/>
    </xf>
    <xf numFmtId="0" fontId="0" fillId="0" borderId="77" xfId="0" applyBorder="1" applyAlignment="1">
      <alignment horizontal="right"/>
    </xf>
    <xf numFmtId="164" fontId="6" fillId="0" borderId="78" xfId="0" applyNumberFormat="1" applyFont="1" applyBorder="1" applyAlignment="1">
      <alignment horizontal="right"/>
    </xf>
    <xf numFmtId="164" fontId="6" fillId="0" borderId="79" xfId="0" applyNumberFormat="1" applyFont="1" applyBorder="1" applyAlignment="1">
      <alignment horizontal="right"/>
    </xf>
    <xf numFmtId="0" fontId="0" fillId="0" borderId="80" xfId="0" applyBorder="1" applyAlignment="1">
      <alignment horizontal="right"/>
    </xf>
    <xf numFmtId="0" fontId="10" fillId="0" borderId="77" xfId="0" applyFont="1" applyBorder="1" applyAlignment="1">
      <alignment horizontal="right"/>
    </xf>
    <xf numFmtId="164" fontId="16" fillId="0" borderId="78" xfId="0" applyNumberFormat="1" applyFont="1" applyBorder="1" applyAlignment="1">
      <alignment horizontal="right"/>
    </xf>
    <xf numFmtId="164" fontId="16" fillId="0" borderId="79" xfId="0" applyNumberFormat="1" applyFont="1" applyBorder="1" applyAlignment="1">
      <alignment horizontal="right"/>
    </xf>
    <xf numFmtId="0" fontId="6" fillId="0" borderId="72" xfId="0" applyFont="1" applyBorder="1" applyAlignment="1">
      <alignment horizontal="right" vertical="center"/>
    </xf>
    <xf numFmtId="0" fontId="6" fillId="0" borderId="70" xfId="0" applyFont="1" applyBorder="1" applyAlignment="1">
      <alignment horizontal="right" vertical="center"/>
    </xf>
    <xf numFmtId="0" fontId="6" fillId="0" borderId="70" xfId="0" applyFont="1" applyBorder="1" applyAlignment="1" applyProtection="1">
      <alignment horizontal="right" vertical="center"/>
      <protection hidden="1"/>
    </xf>
    <xf numFmtId="0" fontId="0" fillId="0" borderId="80" xfId="0" applyBorder="1" applyAlignment="1" applyProtection="1">
      <alignment horizontal="right"/>
      <protection hidden="1"/>
    </xf>
    <xf numFmtId="0" fontId="6" fillId="0" borderId="83" xfId="0" applyFont="1" applyBorder="1" applyAlignment="1" applyProtection="1">
      <alignment horizontal="center"/>
      <protection hidden="1"/>
    </xf>
    <xf numFmtId="0" fontId="6" fillId="0" borderId="71" xfId="0" applyFont="1" applyBorder="1" applyAlignment="1">
      <alignment horizontal="right" vertical="center"/>
    </xf>
    <xf numFmtId="0" fontId="6" fillId="0" borderId="11" xfId="0" applyFont="1" applyBorder="1" applyAlignment="1" applyProtection="1">
      <alignment horizontal="right"/>
      <protection hidden="1"/>
    </xf>
    <xf numFmtId="177" fontId="6" fillId="0" borderId="12" xfId="0" applyNumberFormat="1" applyFont="1" applyBorder="1" applyAlignment="1" applyProtection="1">
      <alignment horizontal="right"/>
      <protection hidden="1"/>
    </xf>
    <xf numFmtId="0" fontId="6" fillId="0" borderId="16" xfId="0" applyFont="1" applyBorder="1" applyAlignment="1" applyProtection="1">
      <alignment horizontal="right"/>
      <protection hidden="1"/>
    </xf>
    <xf numFmtId="177" fontId="6" fillId="0" borderId="17" xfId="0" applyNumberFormat="1" applyFont="1" applyBorder="1" applyAlignment="1" applyProtection="1">
      <alignment horizontal="right"/>
      <protection hidden="1"/>
    </xf>
    <xf numFmtId="0" fontId="6" fillId="0" borderId="13" xfId="0" applyFont="1" applyBorder="1" applyAlignment="1" applyProtection="1">
      <alignment horizontal="right"/>
      <protection hidden="1"/>
    </xf>
    <xf numFmtId="177" fontId="6" fillId="0" borderId="14" xfId="0" applyNumberFormat="1" applyFont="1" applyBorder="1" applyAlignment="1" applyProtection="1">
      <alignment horizontal="right"/>
      <protection hidden="1"/>
    </xf>
    <xf numFmtId="178" fontId="6" fillId="0" borderId="82" xfId="0" applyNumberFormat="1" applyFont="1" applyBorder="1" applyAlignment="1">
      <alignment horizontal="right" vertical="center"/>
    </xf>
    <xf numFmtId="0" fontId="3" fillId="0" borderId="0" xfId="0" applyFont="1" applyProtection="1">
      <protection hidden="1"/>
    </xf>
    <xf numFmtId="176" fontId="6" fillId="0" borderId="44" xfId="0" applyNumberFormat="1" applyFont="1" applyBorder="1" applyAlignment="1" applyProtection="1">
      <alignment horizontal="center"/>
      <protection hidden="1"/>
    </xf>
    <xf numFmtId="176" fontId="6" fillId="0" borderId="48" xfId="0" applyNumberFormat="1" applyFont="1" applyBorder="1" applyAlignment="1" applyProtection="1">
      <alignment horizontal="center"/>
      <protection hidden="1"/>
    </xf>
    <xf numFmtId="176" fontId="0" fillId="0" borderId="48" xfId="0" applyNumberFormat="1" applyBorder="1" applyAlignment="1" applyProtection="1">
      <alignment horizontal="center"/>
      <protection hidden="1"/>
    </xf>
    <xf numFmtId="176" fontId="6" fillId="0" borderId="52" xfId="0" applyNumberFormat="1" applyFont="1" applyBorder="1" applyAlignment="1" applyProtection="1">
      <alignment horizontal="center"/>
      <protection hidden="1"/>
    </xf>
    <xf numFmtId="176" fontId="6" fillId="0" borderId="43" xfId="0" applyNumberFormat="1" applyFont="1" applyBorder="1" applyAlignment="1" applyProtection="1">
      <alignment horizontal="center"/>
      <protection hidden="1"/>
    </xf>
    <xf numFmtId="176" fontId="6" fillId="0" borderId="46" xfId="0" applyNumberFormat="1" applyFont="1" applyBorder="1" applyAlignment="1" applyProtection="1">
      <alignment horizontal="center"/>
      <protection hidden="1"/>
    </xf>
    <xf numFmtId="176" fontId="6" fillId="0" borderId="50" xfId="0" applyNumberFormat="1" applyFont="1" applyBorder="1" applyAlignment="1" applyProtection="1">
      <alignment horizontal="center"/>
      <protection hidden="1"/>
    </xf>
    <xf numFmtId="0" fontId="52" fillId="0" borderId="0" xfId="0" applyFont="1" applyAlignment="1" applyProtection="1">
      <alignment vertical="center"/>
      <protection hidden="1"/>
    </xf>
    <xf numFmtId="164" fontId="16" fillId="0" borderId="82" xfId="0" applyNumberFormat="1" applyFont="1" applyBorder="1" applyAlignment="1" applyProtection="1">
      <alignment horizontal="right"/>
      <protection hidden="1"/>
    </xf>
    <xf numFmtId="0" fontId="0" fillId="0" borderId="115" xfId="0" applyBorder="1" applyAlignment="1">
      <alignment horizontal="right"/>
    </xf>
    <xf numFmtId="164" fontId="6" fillId="0" borderId="116" xfId="0" applyNumberFormat="1" applyFont="1" applyBorder="1" applyAlignment="1">
      <alignment horizontal="right"/>
    </xf>
    <xf numFmtId="173" fontId="0" fillId="0" borderId="0" xfId="0" applyNumberFormat="1" applyProtection="1">
      <protection hidden="1"/>
    </xf>
    <xf numFmtId="0" fontId="0" fillId="0" borderId="3" xfId="0" applyBorder="1" applyAlignment="1" applyProtection="1">
      <alignment horizontal="left" vertical="center"/>
      <protection hidden="1"/>
    </xf>
    <xf numFmtId="166" fontId="5" fillId="2" borderId="41" xfId="0" applyNumberFormat="1" applyFont="1" applyFill="1" applyBorder="1" applyAlignment="1" applyProtection="1">
      <alignment horizontal="right" vertical="center"/>
      <protection locked="0"/>
    </xf>
    <xf numFmtId="0" fontId="10" fillId="2" borderId="119" xfId="0" applyFont="1" applyFill="1" applyBorder="1" applyAlignment="1" applyProtection="1">
      <alignment horizontal="center"/>
      <protection hidden="1"/>
    </xf>
    <xf numFmtId="0" fontId="54" fillId="0" borderId="9" xfId="0" applyFont="1" applyBorder="1" applyAlignment="1" applyProtection="1">
      <alignment horizontal="center"/>
      <protection hidden="1"/>
    </xf>
    <xf numFmtId="0" fontId="54" fillId="0" borderId="120" xfId="0" applyFont="1" applyBorder="1" applyAlignment="1" applyProtection="1">
      <alignment horizontal="center"/>
      <protection hidden="1"/>
    </xf>
    <xf numFmtId="0" fontId="5" fillId="0" borderId="118" xfId="0" applyFont="1" applyBorder="1" applyAlignment="1" applyProtection="1">
      <alignment horizontal="center" vertical="center"/>
      <protection hidden="1"/>
    </xf>
    <xf numFmtId="0" fontId="5" fillId="0" borderId="9" xfId="0" applyFont="1" applyBorder="1" applyAlignment="1" applyProtection="1">
      <alignment horizontal="center" vertical="center"/>
      <protection hidden="1"/>
    </xf>
    <xf numFmtId="0" fontId="54" fillId="0" borderId="9" xfId="0" applyFont="1" applyBorder="1" applyAlignment="1" applyProtection="1">
      <alignment horizontal="center" vertical="center"/>
      <protection hidden="1"/>
    </xf>
    <xf numFmtId="0" fontId="54" fillId="0" borderId="120" xfId="0" applyFont="1" applyBorder="1" applyAlignment="1" applyProtection="1">
      <alignment horizontal="center" vertical="center"/>
      <protection hidden="1"/>
    </xf>
    <xf numFmtId="0" fontId="7" fillId="0" borderId="121" xfId="0" applyFont="1" applyBorder="1" applyAlignment="1" applyProtection="1">
      <alignment horizontal="center" vertical="center"/>
      <protection hidden="1"/>
    </xf>
    <xf numFmtId="0" fontId="5" fillId="0" borderId="121" xfId="0" applyFont="1" applyBorder="1" applyAlignment="1" applyProtection="1">
      <alignment horizontal="center" vertical="center"/>
      <protection hidden="1"/>
    </xf>
    <xf numFmtId="0" fontId="5" fillId="0" borderId="23" xfId="0" applyFont="1" applyBorder="1" applyAlignment="1" applyProtection="1">
      <alignment horizontal="center" vertical="center"/>
      <protection hidden="1"/>
    </xf>
    <xf numFmtId="0" fontId="54" fillId="0" borderId="6" xfId="0" applyFont="1" applyBorder="1" applyAlignment="1" applyProtection="1">
      <alignment horizontal="center" vertical="center"/>
      <protection hidden="1"/>
    </xf>
    <xf numFmtId="0" fontId="5" fillId="0" borderId="18" xfId="0" applyFont="1" applyBorder="1" applyAlignment="1" applyProtection="1">
      <alignment horizontal="center" vertical="center"/>
      <protection hidden="1"/>
    </xf>
    <xf numFmtId="178" fontId="6" fillId="0" borderId="122" xfId="0" applyNumberFormat="1" applyFont="1" applyBorder="1" applyAlignment="1" applyProtection="1">
      <alignment horizontal="center" vertical="center"/>
      <protection hidden="1"/>
    </xf>
    <xf numFmtId="178" fontId="6" fillId="0" borderId="123" xfId="0" applyNumberFormat="1" applyFont="1" applyBorder="1" applyAlignment="1" applyProtection="1">
      <alignment horizontal="center" vertical="center"/>
      <protection hidden="1"/>
    </xf>
    <xf numFmtId="2" fontId="44" fillId="0" borderId="124" xfId="0" applyNumberFormat="1" applyFont="1" applyBorder="1" applyAlignment="1" applyProtection="1">
      <alignment horizontal="center"/>
      <protection hidden="1"/>
    </xf>
    <xf numFmtId="2" fontId="44" fillId="0" borderId="125" xfId="0" applyNumberFormat="1" applyFont="1" applyBorder="1" applyAlignment="1" applyProtection="1">
      <alignment horizontal="center"/>
      <protection hidden="1"/>
    </xf>
    <xf numFmtId="2" fontId="45" fillId="0" borderId="125" xfId="0" applyNumberFormat="1" applyFont="1" applyBorder="1" applyAlignment="1" applyProtection="1">
      <alignment horizontal="center"/>
      <protection hidden="1"/>
    </xf>
    <xf numFmtId="2" fontId="6" fillId="0" borderId="126" xfId="0" applyNumberFormat="1" applyFont="1" applyBorder="1" applyAlignment="1" applyProtection="1">
      <alignment horizontal="center" vertical="center"/>
      <protection hidden="1"/>
    </xf>
    <xf numFmtId="2" fontId="6" fillId="0" borderId="127" xfId="0" applyNumberFormat="1" applyFont="1" applyBorder="1" applyAlignment="1" applyProtection="1">
      <alignment horizontal="center" vertical="center"/>
      <protection hidden="1"/>
    </xf>
    <xf numFmtId="164" fontId="15" fillId="0" borderId="0" xfId="0" applyNumberFormat="1" applyFont="1" applyAlignment="1" applyProtection="1">
      <alignment horizontal="left" vertical="center"/>
      <protection hidden="1"/>
    </xf>
    <xf numFmtId="164" fontId="0" fillId="0" borderId="0" xfId="0" applyNumberFormat="1" applyAlignment="1" applyProtection="1">
      <alignment horizontal="center" vertical="center"/>
      <protection hidden="1"/>
    </xf>
    <xf numFmtId="164" fontId="0" fillId="0" borderId="126" xfId="0" applyNumberFormat="1" applyBorder="1" applyAlignment="1" applyProtection="1">
      <alignment horizontal="center" vertical="center"/>
      <protection hidden="1"/>
    </xf>
    <xf numFmtId="164" fontId="0" fillId="0" borderId="19" xfId="0" applyNumberFormat="1" applyBorder="1" applyAlignment="1" applyProtection="1">
      <alignment horizontal="center" vertical="center"/>
      <protection hidden="1"/>
    </xf>
    <xf numFmtId="0" fontId="0" fillId="0" borderId="19" xfId="0" applyBorder="1" applyProtection="1">
      <protection hidden="1"/>
    </xf>
    <xf numFmtId="164" fontId="0" fillId="0" borderId="19" xfId="0" applyNumberFormat="1" applyBorder="1" applyAlignment="1" applyProtection="1">
      <alignment horizontal="right" vertical="center"/>
      <protection hidden="1"/>
    </xf>
    <xf numFmtId="178" fontId="7" fillId="0" borderId="23" xfId="0" applyNumberFormat="1" applyFont="1" applyBorder="1" applyAlignment="1" applyProtection="1">
      <alignment horizontal="center"/>
      <protection hidden="1"/>
    </xf>
    <xf numFmtId="164" fontId="0" fillId="2" borderId="128" xfId="0" applyNumberFormat="1" applyFill="1" applyBorder="1" applyAlignment="1" applyProtection="1">
      <alignment horizontal="center" vertical="center"/>
      <protection hidden="1"/>
    </xf>
    <xf numFmtId="164" fontId="0" fillId="2" borderId="129" xfId="0" applyNumberFormat="1" applyFill="1" applyBorder="1" applyAlignment="1" applyProtection="1">
      <alignment horizontal="center" vertical="center"/>
      <protection hidden="1"/>
    </xf>
    <xf numFmtId="0" fontId="0" fillId="2" borderId="129" xfId="0" applyFill="1" applyBorder="1" applyProtection="1">
      <protection hidden="1"/>
    </xf>
    <xf numFmtId="164" fontId="0" fillId="2" borderId="129" xfId="0" applyNumberFormat="1" applyFill="1" applyBorder="1" applyAlignment="1" applyProtection="1">
      <alignment horizontal="right" vertical="center"/>
      <protection hidden="1"/>
    </xf>
    <xf numFmtId="178" fontId="7" fillId="2" borderId="123" xfId="0" applyNumberFormat="1" applyFont="1" applyFill="1" applyBorder="1" applyAlignment="1" applyProtection="1">
      <alignment horizontal="center"/>
      <protection hidden="1"/>
    </xf>
    <xf numFmtId="164" fontId="0" fillId="0" borderId="128" xfId="0" applyNumberFormat="1" applyBorder="1" applyAlignment="1" applyProtection="1">
      <alignment horizontal="center" vertical="center"/>
      <protection hidden="1"/>
    </xf>
    <xf numFmtId="164" fontId="0" fillId="0" borderId="129" xfId="0" applyNumberFormat="1" applyBorder="1" applyAlignment="1" applyProtection="1">
      <alignment horizontal="center" vertical="center"/>
      <protection hidden="1"/>
    </xf>
    <xf numFmtId="0" fontId="0" fillId="0" borderId="129" xfId="0" applyBorder="1" applyProtection="1">
      <protection hidden="1"/>
    </xf>
    <xf numFmtId="164" fontId="0" fillId="0" borderId="129" xfId="0" applyNumberFormat="1" applyBorder="1" applyAlignment="1" applyProtection="1">
      <alignment horizontal="right" vertical="center"/>
      <protection hidden="1"/>
    </xf>
    <xf numFmtId="178" fontId="7" fillId="0" borderId="123" xfId="0" applyNumberFormat="1" applyFont="1" applyBorder="1" applyAlignment="1" applyProtection="1">
      <alignment horizontal="center"/>
      <protection hidden="1"/>
    </xf>
    <xf numFmtId="0" fontId="0" fillId="0" borderId="128" xfId="0" applyBorder="1" applyProtection="1">
      <protection hidden="1"/>
    </xf>
    <xf numFmtId="0" fontId="0" fillId="0" borderId="129" xfId="0" applyBorder="1" applyAlignment="1" applyProtection="1">
      <alignment horizontal="right"/>
      <protection hidden="1"/>
    </xf>
    <xf numFmtId="0" fontId="0" fillId="2" borderId="128" xfId="0" applyFill="1" applyBorder="1" applyProtection="1">
      <protection hidden="1"/>
    </xf>
    <xf numFmtId="0" fontId="0" fillId="2" borderId="129" xfId="0" applyFill="1" applyBorder="1" applyAlignment="1" applyProtection="1">
      <alignment horizontal="right"/>
      <protection hidden="1"/>
    </xf>
    <xf numFmtId="178" fontId="7" fillId="0" borderId="123" xfId="0" applyNumberFormat="1" applyFont="1" applyBorder="1" applyAlignment="1" applyProtection="1">
      <alignment horizontal="center" vertical="center"/>
      <protection hidden="1"/>
    </xf>
    <xf numFmtId="178" fontId="7" fillId="2" borderId="123" xfId="0" applyNumberFormat="1" applyFont="1" applyFill="1" applyBorder="1" applyAlignment="1" applyProtection="1">
      <alignment horizontal="center" vertical="center"/>
      <protection hidden="1"/>
    </xf>
    <xf numFmtId="164" fontId="0" fillId="0" borderId="128" xfId="0" applyNumberFormat="1" applyBorder="1" applyAlignment="1" applyProtection="1">
      <alignment vertical="center"/>
      <protection hidden="1"/>
    </xf>
    <xf numFmtId="164" fontId="0" fillId="0" borderId="129" xfId="0" applyNumberFormat="1" applyBorder="1" applyAlignment="1" applyProtection="1">
      <alignment vertical="center"/>
      <protection hidden="1"/>
    </xf>
    <xf numFmtId="0" fontId="7" fillId="0" borderId="123" xfId="0" applyFont="1" applyBorder="1" applyAlignment="1" applyProtection="1">
      <alignment horizontal="center" vertical="center"/>
      <protection hidden="1"/>
    </xf>
    <xf numFmtId="164" fontId="0" fillId="2" borderId="128" xfId="0" applyNumberFormat="1" applyFill="1" applyBorder="1" applyAlignment="1" applyProtection="1">
      <alignment vertical="center"/>
      <protection hidden="1"/>
    </xf>
    <xf numFmtId="164" fontId="0" fillId="2" borderId="129" xfId="0" applyNumberFormat="1" applyFill="1" applyBorder="1" applyAlignment="1" applyProtection="1">
      <alignment vertical="center"/>
      <protection hidden="1"/>
    </xf>
    <xf numFmtId="1" fontId="7" fillId="2" borderId="123" xfId="0" applyNumberFormat="1" applyFont="1" applyFill="1" applyBorder="1" applyAlignment="1" applyProtection="1">
      <alignment horizontal="center" vertical="center"/>
      <protection hidden="1"/>
    </xf>
    <xf numFmtId="1" fontId="7" fillId="0" borderId="123" xfId="0" applyNumberFormat="1" applyFont="1" applyBorder="1" applyAlignment="1" applyProtection="1">
      <alignment horizontal="center"/>
      <protection hidden="1"/>
    </xf>
    <xf numFmtId="164" fontId="0" fillId="2" borderId="127" xfId="0" applyNumberFormat="1" applyFill="1" applyBorder="1" applyAlignment="1" applyProtection="1">
      <alignment vertical="center"/>
      <protection hidden="1"/>
    </xf>
    <xf numFmtId="164" fontId="0" fillId="2" borderId="21" xfId="0" applyNumberFormat="1" applyFill="1" applyBorder="1" applyAlignment="1" applyProtection="1">
      <alignment vertical="center"/>
      <protection hidden="1"/>
    </xf>
    <xf numFmtId="0" fontId="0" fillId="2" borderId="21" xfId="0" applyFill="1" applyBorder="1" applyProtection="1">
      <protection hidden="1"/>
    </xf>
    <xf numFmtId="164" fontId="0" fillId="2" borderId="21" xfId="0" applyNumberFormat="1" applyFill="1" applyBorder="1" applyAlignment="1" applyProtection="1">
      <alignment horizontal="right" vertical="center"/>
      <protection hidden="1"/>
    </xf>
    <xf numFmtId="178" fontId="7" fillId="2" borderId="22" xfId="0" applyNumberFormat="1" applyFont="1" applyFill="1" applyBorder="1" applyAlignment="1" applyProtection="1">
      <alignment horizontal="center"/>
      <protection hidden="1"/>
    </xf>
    <xf numFmtId="2" fontId="6" fillId="0" borderId="130" xfId="0" applyNumberFormat="1" applyFont="1" applyBorder="1" applyAlignment="1" applyProtection="1">
      <alignment horizontal="center"/>
      <protection hidden="1"/>
    </xf>
    <xf numFmtId="2" fontId="6" fillId="0" borderId="53" xfId="0" applyNumberFormat="1" applyFont="1" applyBorder="1" applyAlignment="1" applyProtection="1">
      <alignment horizontal="center" vertical="center"/>
      <protection hidden="1"/>
    </xf>
    <xf numFmtId="178" fontId="6" fillId="0" borderId="132" xfId="0" applyNumberFormat="1" applyFont="1" applyBorder="1" applyAlignment="1" applyProtection="1">
      <alignment horizontal="center" vertical="center"/>
      <protection hidden="1"/>
    </xf>
    <xf numFmtId="178" fontId="6" fillId="0" borderId="133" xfId="0" applyNumberFormat="1" applyFont="1" applyBorder="1" applyAlignment="1" applyProtection="1">
      <alignment horizontal="center" vertical="center"/>
      <protection hidden="1"/>
    </xf>
    <xf numFmtId="2" fontId="44" fillId="0" borderId="134" xfId="0" applyNumberFormat="1" applyFont="1" applyBorder="1" applyAlignment="1" applyProtection="1">
      <alignment horizontal="center"/>
      <protection hidden="1"/>
    </xf>
    <xf numFmtId="2" fontId="44" fillId="0" borderId="135" xfId="0" applyNumberFormat="1" applyFont="1" applyBorder="1" applyAlignment="1" applyProtection="1">
      <alignment horizontal="center"/>
      <protection hidden="1"/>
    </xf>
    <xf numFmtId="2" fontId="45" fillId="0" borderId="135" xfId="0" applyNumberFormat="1" applyFont="1" applyBorder="1" applyAlignment="1" applyProtection="1">
      <alignment horizontal="center"/>
      <protection hidden="1"/>
    </xf>
    <xf numFmtId="0" fontId="0" fillId="0" borderId="131" xfId="0" applyBorder="1"/>
    <xf numFmtId="164" fontId="6" fillId="0" borderId="136" xfId="0" applyNumberFormat="1" applyFont="1" applyBorder="1" applyAlignment="1">
      <alignment horizontal="right"/>
    </xf>
    <xf numFmtId="0" fontId="54" fillId="0" borderId="18" xfId="0" applyFont="1" applyBorder="1" applyAlignment="1" applyProtection="1">
      <alignment horizontal="center" vertical="center"/>
      <protection hidden="1"/>
    </xf>
    <xf numFmtId="180" fontId="18" fillId="0" borderId="0" xfId="0" applyNumberFormat="1" applyFont="1" applyAlignment="1" applyProtection="1">
      <alignment horizontal="center" vertical="center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0" fontId="30" fillId="0" borderId="2" xfId="0" applyFont="1" applyBorder="1" applyAlignment="1" applyProtection="1">
      <alignment horizontal="right" vertical="center"/>
      <protection hidden="1"/>
    </xf>
    <xf numFmtId="178" fontId="6" fillId="2" borderId="137" xfId="0" applyNumberFormat="1" applyFont="1" applyFill="1" applyBorder="1" applyAlignment="1" applyProtection="1">
      <alignment horizontal="center" vertical="center"/>
      <protection hidden="1"/>
    </xf>
    <xf numFmtId="178" fontId="6" fillId="0" borderId="138" xfId="0" applyNumberFormat="1" applyFont="1" applyBorder="1" applyAlignment="1" applyProtection="1">
      <alignment horizontal="center" vertical="center"/>
      <protection hidden="1"/>
    </xf>
    <xf numFmtId="182" fontId="6" fillId="0" borderId="138" xfId="0" applyNumberFormat="1" applyFont="1" applyBorder="1" applyAlignment="1" applyProtection="1">
      <alignment horizontal="center" vertical="center"/>
      <protection hidden="1"/>
    </xf>
    <xf numFmtId="2" fontId="44" fillId="0" borderId="138" xfId="0" applyNumberFormat="1" applyFont="1" applyBorder="1" applyAlignment="1" applyProtection="1">
      <alignment horizontal="center"/>
      <protection hidden="1"/>
    </xf>
    <xf numFmtId="2" fontId="45" fillId="0" borderId="138" xfId="0" applyNumberFormat="1" applyFont="1" applyBorder="1" applyAlignment="1" applyProtection="1">
      <alignment horizontal="center"/>
      <protection hidden="1"/>
    </xf>
    <xf numFmtId="2" fontId="45" fillId="0" borderId="139" xfId="0" applyNumberFormat="1" applyFont="1" applyBorder="1" applyAlignment="1" applyProtection="1">
      <alignment horizontal="center"/>
      <protection hidden="1"/>
    </xf>
    <xf numFmtId="2" fontId="45" fillId="0" borderId="123" xfId="0" applyNumberFormat="1" applyFont="1" applyBorder="1" applyAlignment="1" applyProtection="1">
      <alignment horizontal="center"/>
      <protection hidden="1"/>
    </xf>
    <xf numFmtId="2" fontId="45" fillId="0" borderId="140" xfId="0" applyNumberFormat="1" applyFont="1" applyBorder="1" applyAlignment="1" applyProtection="1">
      <alignment horizontal="center"/>
      <protection hidden="1"/>
    </xf>
    <xf numFmtId="2" fontId="45" fillId="0" borderId="141" xfId="0" applyNumberFormat="1" applyFont="1" applyBorder="1" applyAlignment="1" applyProtection="1">
      <alignment horizontal="center"/>
      <protection hidden="1"/>
    </xf>
    <xf numFmtId="0" fontId="54" fillId="0" borderId="142" xfId="0" applyFont="1" applyBorder="1" applyAlignment="1" applyProtection="1">
      <alignment horizontal="center" vertical="center"/>
      <protection hidden="1"/>
    </xf>
    <xf numFmtId="0" fontId="54" fillId="0" borderId="143" xfId="0" applyFont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182" fontId="6" fillId="4" borderId="18" xfId="0" applyNumberFormat="1" applyFont="1" applyFill="1" applyBorder="1" applyAlignment="1" applyProtection="1">
      <alignment horizontal="center" vertical="center"/>
      <protection hidden="1"/>
    </xf>
    <xf numFmtId="178" fontId="6" fillId="2" borderId="124" xfId="0" applyNumberFormat="1" applyFont="1" applyFill="1" applyBorder="1" applyAlignment="1" applyProtection="1">
      <alignment horizontal="center" vertical="center"/>
      <protection hidden="1"/>
    </xf>
    <xf numFmtId="178" fontId="6" fillId="0" borderId="125" xfId="0" applyNumberFormat="1" applyFont="1" applyBorder="1" applyAlignment="1" applyProtection="1">
      <alignment horizontal="center" vertical="center"/>
      <protection hidden="1"/>
    </xf>
    <xf numFmtId="182" fontId="6" fillId="0" borderId="123" xfId="0" applyNumberFormat="1" applyFont="1" applyBorder="1" applyAlignment="1" applyProtection="1">
      <alignment horizontal="center" vertical="center"/>
      <protection hidden="1"/>
    </xf>
    <xf numFmtId="178" fontId="6" fillId="2" borderId="134" xfId="0" applyNumberFormat="1" applyFont="1" applyFill="1" applyBorder="1" applyAlignment="1" applyProtection="1">
      <alignment horizontal="center" vertical="center"/>
      <protection hidden="1"/>
    </xf>
    <xf numFmtId="178" fontId="6" fillId="0" borderId="135" xfId="0" applyNumberFormat="1" applyFont="1" applyBorder="1" applyAlignment="1" applyProtection="1">
      <alignment horizontal="center" vertical="center"/>
      <protection hidden="1"/>
    </xf>
    <xf numFmtId="182" fontId="6" fillId="0" borderId="133" xfId="0" applyNumberFormat="1" applyFont="1" applyBorder="1" applyAlignment="1" applyProtection="1">
      <alignment horizontal="center" vertical="center"/>
      <protection hidden="1"/>
    </xf>
    <xf numFmtId="182" fontId="0" fillId="0" borderId="124" xfId="0" applyNumberFormat="1" applyBorder="1" applyAlignment="1">
      <alignment horizontal="center"/>
    </xf>
    <xf numFmtId="182" fontId="0" fillId="0" borderId="125" xfId="0" applyNumberFormat="1" applyBorder="1" applyAlignment="1">
      <alignment horizontal="center"/>
    </xf>
    <xf numFmtId="182" fontId="0" fillId="0" borderId="123" xfId="0" applyNumberFormat="1" applyBorder="1" applyAlignment="1">
      <alignment horizontal="center"/>
    </xf>
    <xf numFmtId="182" fontId="0" fillId="0" borderId="7" xfId="0" applyNumberFormat="1" applyBorder="1" applyAlignment="1">
      <alignment horizontal="center"/>
    </xf>
    <xf numFmtId="182" fontId="0" fillId="0" borderId="8" xfId="0" applyNumberFormat="1" applyBorder="1" applyAlignment="1">
      <alignment horizontal="center"/>
    </xf>
    <xf numFmtId="182" fontId="0" fillId="0" borderId="135" xfId="0" applyNumberFormat="1" applyBorder="1" applyAlignment="1">
      <alignment horizontal="center"/>
    </xf>
    <xf numFmtId="182" fontId="0" fillId="0" borderId="133" xfId="0" applyNumberFormat="1" applyBorder="1" applyAlignment="1">
      <alignment horizontal="center"/>
    </xf>
    <xf numFmtId="2" fontId="6" fillId="5" borderId="138" xfId="0" applyNumberFormat="1" applyFont="1" applyFill="1" applyBorder="1" applyAlignment="1" applyProtection="1">
      <alignment horizontal="center"/>
      <protection hidden="1"/>
    </xf>
    <xf numFmtId="183" fontId="6" fillId="0" borderId="145" xfId="0" applyNumberFormat="1" applyFont="1" applyBorder="1"/>
    <xf numFmtId="183" fontId="6" fillId="0" borderId="146" xfId="0" applyNumberFormat="1" applyFont="1" applyBorder="1"/>
    <xf numFmtId="0" fontId="6" fillId="0" borderId="146" xfId="0" applyFont="1" applyBorder="1" applyAlignment="1" applyProtection="1">
      <alignment vertical="center"/>
      <protection hidden="1"/>
    </xf>
    <xf numFmtId="184" fontId="6" fillId="0" borderId="146" xfId="0" applyNumberFormat="1" applyFont="1" applyBorder="1"/>
    <xf numFmtId="0" fontId="6" fillId="0" borderId="146" xfId="0" applyFont="1" applyBorder="1" applyProtection="1">
      <protection hidden="1"/>
    </xf>
    <xf numFmtId="185" fontId="16" fillId="0" borderId="147" xfId="0" applyNumberFormat="1" applyFont="1" applyBorder="1" applyAlignment="1">
      <alignment horizontal="center" vertical="center"/>
    </xf>
    <xf numFmtId="0" fontId="56" fillId="0" borderId="0" xfId="0" applyFont="1" applyAlignment="1" applyProtection="1">
      <alignment vertical="top"/>
      <protection hidden="1"/>
    </xf>
    <xf numFmtId="20" fontId="8" fillId="0" borderId="4" xfId="0" applyNumberFormat="1" applyFont="1" applyBorder="1" applyAlignment="1" applyProtection="1">
      <alignment horizontal="center" vertical="center"/>
      <protection hidden="1"/>
    </xf>
    <xf numFmtId="170" fontId="6" fillId="0" borderId="45" xfId="0" applyNumberFormat="1" applyFont="1" applyBorder="1" applyAlignment="1" applyProtection="1">
      <alignment horizontal="right" vertical="center"/>
      <protection hidden="1"/>
    </xf>
    <xf numFmtId="170" fontId="6" fillId="0" borderId="69" xfId="0" applyNumberFormat="1" applyFont="1" applyBorder="1" applyAlignment="1" applyProtection="1">
      <alignment horizontal="right" vertical="center"/>
      <protection hidden="1"/>
    </xf>
    <xf numFmtId="170" fontId="6" fillId="0" borderId="61" xfId="0" applyNumberFormat="1" applyFont="1" applyBorder="1" applyAlignment="1" applyProtection="1">
      <alignment horizontal="right" vertical="center"/>
      <protection hidden="1"/>
    </xf>
    <xf numFmtId="0" fontId="23" fillId="0" borderId="57" xfId="0" applyFont="1" applyBorder="1" applyAlignment="1" applyProtection="1">
      <alignment horizontal="right"/>
      <protection hidden="1"/>
    </xf>
    <xf numFmtId="170" fontId="6" fillId="0" borderId="58" xfId="0" applyNumberFormat="1" applyFont="1" applyBorder="1" applyAlignment="1" applyProtection="1">
      <alignment horizontal="right" vertical="center"/>
      <protection hidden="1"/>
    </xf>
    <xf numFmtId="0" fontId="24" fillId="0" borderId="68" xfId="0" applyFont="1" applyBorder="1" applyAlignment="1" applyProtection="1">
      <alignment horizontal="right"/>
      <protection hidden="1"/>
    </xf>
    <xf numFmtId="180" fontId="0" fillId="2" borderId="41" xfId="0" applyNumberFormat="1" applyFill="1" applyBorder="1" applyAlignment="1" applyProtection="1">
      <alignment horizontal="center" vertical="center"/>
      <protection locked="0"/>
    </xf>
    <xf numFmtId="0" fontId="23" fillId="0" borderId="59" xfId="0" applyFont="1" applyBorder="1" applyAlignment="1" applyProtection="1">
      <alignment horizontal="right"/>
      <protection hidden="1"/>
    </xf>
    <xf numFmtId="0" fontId="0" fillId="0" borderId="57" xfId="0" applyBorder="1" applyAlignment="1" applyProtection="1">
      <alignment horizontal="right"/>
      <protection hidden="1"/>
    </xf>
    <xf numFmtId="0" fontId="31" fillId="0" borderId="59" xfId="0" applyFont="1" applyBorder="1" applyAlignment="1" applyProtection="1">
      <alignment horizontal="right"/>
      <protection hidden="1"/>
    </xf>
    <xf numFmtId="0" fontId="53" fillId="0" borderId="0" xfId="0" applyFont="1"/>
    <xf numFmtId="178" fontId="7" fillId="0" borderId="0" xfId="0" applyNumberFormat="1" applyFont="1" applyProtection="1">
      <protection hidden="1"/>
    </xf>
    <xf numFmtId="164" fontId="7" fillId="0" borderId="0" xfId="0" applyNumberFormat="1" applyFont="1" applyAlignment="1" applyProtection="1">
      <alignment horizontal="center"/>
      <protection hidden="1"/>
    </xf>
    <xf numFmtId="0" fontId="0" fillId="0" borderId="57" xfId="0" applyBorder="1" applyAlignment="1" applyProtection="1">
      <alignment horizontal="right" vertical="center"/>
      <protection hidden="1"/>
    </xf>
    <xf numFmtId="178" fontId="0" fillId="0" borderId="58" xfId="0" applyNumberFormat="1" applyBorder="1" applyAlignment="1" applyProtection="1">
      <alignment horizontal="right" vertical="center"/>
      <protection hidden="1"/>
    </xf>
    <xf numFmtId="0" fontId="0" fillId="0" borderId="60" xfId="0" applyBorder="1" applyAlignment="1" applyProtection="1">
      <alignment horizontal="right" vertical="center"/>
      <protection hidden="1"/>
    </xf>
    <xf numFmtId="178" fontId="0" fillId="0" borderId="61" xfId="0" applyNumberFormat="1" applyBorder="1" applyAlignment="1" applyProtection="1">
      <alignment horizontal="right" vertical="center"/>
      <protection hidden="1"/>
    </xf>
    <xf numFmtId="0" fontId="27" fillId="0" borderId="0" xfId="0" applyFont="1" applyAlignment="1" applyProtection="1">
      <alignment vertical="center"/>
      <protection hidden="1"/>
    </xf>
    <xf numFmtId="0" fontId="58" fillId="0" borderId="0" xfId="0" applyFont="1" applyAlignment="1">
      <alignment vertical="center"/>
    </xf>
    <xf numFmtId="164" fontId="58" fillId="0" borderId="0" xfId="0" applyNumberFormat="1" applyFont="1" applyAlignment="1" applyProtection="1">
      <alignment vertical="center"/>
      <protection hidden="1"/>
    </xf>
    <xf numFmtId="173" fontId="59" fillId="0" borderId="1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right" vertical="center"/>
      <protection hidden="1"/>
    </xf>
    <xf numFmtId="170" fontId="21" fillId="0" borderId="3" xfId="0" applyNumberFormat="1" applyFont="1" applyBorder="1" applyAlignment="1" applyProtection="1">
      <alignment horizontal="left" vertical="center"/>
      <protection hidden="1"/>
    </xf>
    <xf numFmtId="175" fontId="21" fillId="0" borderId="2" xfId="0" applyNumberFormat="1" applyFont="1" applyBorder="1" applyAlignment="1" applyProtection="1">
      <alignment horizontal="right" vertical="center"/>
      <protection hidden="1"/>
    </xf>
    <xf numFmtId="176" fontId="21" fillId="0" borderId="2" xfId="0" applyNumberFormat="1" applyFont="1" applyBorder="1" applyAlignment="1" applyProtection="1">
      <alignment horizontal="center" vertical="center"/>
      <protection hidden="1"/>
    </xf>
    <xf numFmtId="170" fontId="60" fillId="0" borderId="3" xfId="0" applyNumberFormat="1" applyFont="1" applyBorder="1" applyAlignment="1" applyProtection="1">
      <alignment horizontal="left" vertical="center"/>
      <protection hidden="1"/>
    </xf>
    <xf numFmtId="0" fontId="0" fillId="0" borderId="1" xfId="0" applyBorder="1"/>
    <xf numFmtId="0" fontId="0" fillId="0" borderId="3" xfId="0" applyBorder="1" applyAlignment="1" applyProtection="1">
      <alignment horizontal="right" vertical="center"/>
      <protection hidden="1"/>
    </xf>
    <xf numFmtId="0" fontId="23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5" fillId="0" borderId="41" xfId="0" applyFont="1" applyFill="1" applyBorder="1" applyAlignment="1" applyProtection="1">
      <alignment horizontal="center" vertical="center"/>
      <protection hidden="1"/>
    </xf>
    <xf numFmtId="166" fontId="0" fillId="0" borderId="0" xfId="0" applyNumberFormat="1"/>
    <xf numFmtId="186" fontId="6" fillId="0" borderId="78" xfId="0" applyNumberFormat="1" applyFont="1" applyBorder="1" applyAlignment="1">
      <alignment horizontal="right" vertical="center"/>
    </xf>
    <xf numFmtId="186" fontId="6" fillId="0" borderId="79" xfId="0" applyNumberFormat="1" applyFont="1" applyBorder="1" applyAlignment="1">
      <alignment horizontal="right" vertical="center"/>
    </xf>
    <xf numFmtId="0" fontId="7" fillId="0" borderId="0" xfId="0" applyFont="1" applyAlignment="1" applyProtection="1">
      <alignment horizontal="left" vertical="center"/>
      <protection hidden="1"/>
    </xf>
    <xf numFmtId="0" fontId="6" fillId="2" borderId="9" xfId="0" applyFont="1" applyFill="1" applyBorder="1" applyAlignment="1" applyProtection="1">
      <alignment horizontal="center" vertical="center"/>
      <protection locked="0"/>
    </xf>
    <xf numFmtId="21" fontId="9" fillId="0" borderId="5" xfId="0" applyNumberFormat="1" applyFont="1" applyBorder="1" applyAlignment="1" applyProtection="1">
      <alignment horizontal="right" vertical="center"/>
      <protection hidden="1"/>
    </xf>
    <xf numFmtId="0" fontId="21" fillId="0" borderId="149" xfId="0" applyFont="1" applyBorder="1" applyAlignment="1" applyProtection="1">
      <alignment horizontal="center" vertical="center"/>
      <protection hidden="1"/>
    </xf>
    <xf numFmtId="0" fontId="21" fillId="0" borderId="150" xfId="0" applyFont="1" applyBorder="1" applyAlignment="1" applyProtection="1">
      <alignment horizontal="center" vertical="center"/>
      <protection hidden="1"/>
    </xf>
    <xf numFmtId="0" fontId="5" fillId="0" borderId="153" xfId="0" applyFont="1" applyBorder="1" applyAlignment="1" applyProtection="1">
      <alignment horizontal="center" vertical="center"/>
      <protection hidden="1"/>
    </xf>
    <xf numFmtId="0" fontId="21" fillId="0" borderId="154" xfId="0" applyFont="1" applyBorder="1" applyAlignment="1" applyProtection="1">
      <alignment horizontal="center"/>
      <protection hidden="1"/>
    </xf>
    <xf numFmtId="0" fontId="0" fillId="0" borderId="155" xfId="0" applyBorder="1" applyAlignment="1" applyProtection="1">
      <alignment horizontal="center" vertical="center"/>
      <protection hidden="1"/>
    </xf>
    <xf numFmtId="171" fontId="13" fillId="0" borderId="58" xfId="0" applyNumberFormat="1" applyFont="1" applyBorder="1" applyAlignment="1" applyProtection="1">
      <alignment horizontal="right" vertical="center"/>
      <protection hidden="1"/>
    </xf>
    <xf numFmtId="171" fontId="13" fillId="0" borderId="45" xfId="0" applyNumberFormat="1" applyFont="1" applyBorder="1" applyAlignment="1" applyProtection="1">
      <alignment horizontal="right" vertical="center"/>
      <protection hidden="1"/>
    </xf>
    <xf numFmtId="171" fontId="6" fillId="0" borderId="45" xfId="0" applyNumberFormat="1" applyFont="1" applyBorder="1" applyAlignment="1" applyProtection="1">
      <alignment horizontal="right" vertical="center"/>
      <protection hidden="1"/>
    </xf>
    <xf numFmtId="171" fontId="6" fillId="0" borderId="69" xfId="0" applyNumberFormat="1" applyFont="1" applyBorder="1" applyAlignment="1" applyProtection="1">
      <alignment horizontal="right" vertical="center"/>
      <protection hidden="1"/>
    </xf>
    <xf numFmtId="171" fontId="13" fillId="0" borderId="69" xfId="0" applyNumberFormat="1" applyFont="1" applyBorder="1" applyAlignment="1" applyProtection="1">
      <alignment horizontal="right" vertical="center"/>
      <protection hidden="1"/>
    </xf>
    <xf numFmtId="171" fontId="6" fillId="0" borderId="58" xfId="0" applyNumberFormat="1" applyFont="1" applyBorder="1" applyAlignment="1" applyProtection="1">
      <alignment horizontal="right" vertical="center"/>
      <protection hidden="1"/>
    </xf>
    <xf numFmtId="171" fontId="13" fillId="0" borderId="61" xfId="0" applyNumberFormat="1" applyFont="1" applyBorder="1" applyAlignment="1" applyProtection="1">
      <alignment horizontal="right" vertical="center"/>
      <protection hidden="1"/>
    </xf>
    <xf numFmtId="171" fontId="13" fillId="0" borderId="156" xfId="0" applyNumberFormat="1" applyFont="1" applyBorder="1" applyAlignment="1" applyProtection="1">
      <alignment horizontal="center" vertical="center"/>
      <protection hidden="1"/>
    </xf>
    <xf numFmtId="171" fontId="13" fillId="0" borderId="157" xfId="0" applyNumberFormat="1" applyFont="1" applyBorder="1" applyAlignment="1" applyProtection="1">
      <alignment horizontal="center" vertical="center"/>
      <protection hidden="1"/>
    </xf>
    <xf numFmtId="171" fontId="6" fillId="0" borderId="157" xfId="0" applyNumberFormat="1" applyFont="1" applyBorder="1" applyAlignment="1" applyProtection="1">
      <alignment horizontal="center" vertical="center"/>
      <protection hidden="1"/>
    </xf>
    <xf numFmtId="171" fontId="6" fillId="0" borderId="158" xfId="0" applyNumberFormat="1" applyFont="1" applyBorder="1" applyAlignment="1" applyProtection="1">
      <alignment horizontal="center" vertical="center"/>
      <protection hidden="1"/>
    </xf>
    <xf numFmtId="171" fontId="13" fillId="0" borderId="158" xfId="0" applyNumberFormat="1" applyFont="1" applyBorder="1" applyAlignment="1" applyProtection="1">
      <alignment horizontal="center" vertical="center"/>
      <protection hidden="1"/>
    </xf>
    <xf numFmtId="171" fontId="6" fillId="0" borderId="156" xfId="0" applyNumberFormat="1" applyFont="1" applyBorder="1" applyAlignment="1" applyProtection="1">
      <alignment horizontal="center" vertical="center"/>
      <protection hidden="1"/>
    </xf>
    <xf numFmtId="171" fontId="13" fillId="0" borderId="159" xfId="0" applyNumberFormat="1" applyFont="1" applyBorder="1" applyAlignment="1" applyProtection="1">
      <alignment horizontal="center" vertical="center"/>
      <protection hidden="1"/>
    </xf>
    <xf numFmtId="171" fontId="25" fillId="0" borderId="151" xfId="0" applyNumberFormat="1" applyFont="1" applyBorder="1" applyAlignment="1" applyProtection="1">
      <alignment horizontal="right" vertical="center"/>
      <protection hidden="1"/>
    </xf>
    <xf numFmtId="171" fontId="25" fillId="0" borderId="152" xfId="0" applyNumberFormat="1" applyFont="1" applyBorder="1" applyAlignment="1" applyProtection="1">
      <alignment horizontal="right" vertical="center"/>
      <protection hidden="1"/>
    </xf>
    <xf numFmtId="0" fontId="5" fillId="0" borderId="26" xfId="0" applyFont="1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hidden="1"/>
    </xf>
    <xf numFmtId="0" fontId="5" fillId="0" borderId="160" xfId="0" applyFont="1" applyBorder="1" applyAlignment="1" applyProtection="1">
      <alignment horizontal="center" vertical="center"/>
      <protection hidden="1"/>
    </xf>
    <xf numFmtId="0" fontId="21" fillId="0" borderId="161" xfId="0" applyFont="1" applyBorder="1" applyAlignment="1" applyProtection="1">
      <alignment horizontal="center"/>
      <protection hidden="1"/>
    </xf>
    <xf numFmtId="0" fontId="6" fillId="0" borderId="144" xfId="0" applyFont="1" applyBorder="1" applyAlignment="1" applyProtection="1">
      <alignment horizontal="center"/>
      <protection hidden="1"/>
    </xf>
    <xf numFmtId="0" fontId="5" fillId="0" borderId="64" xfId="0" applyFont="1" applyBorder="1" applyAlignment="1" applyProtection="1">
      <alignment horizontal="center" vertical="center"/>
      <protection hidden="1"/>
    </xf>
    <xf numFmtId="0" fontId="5" fillId="0" borderId="66" xfId="0" applyFont="1" applyBorder="1" applyAlignment="1" applyProtection="1">
      <alignment horizontal="center" vertical="center"/>
      <protection hidden="1"/>
    </xf>
    <xf numFmtId="0" fontId="6" fillId="0" borderId="2" xfId="0" applyFont="1" applyBorder="1" applyAlignment="1" applyProtection="1">
      <alignment horizontal="right" vertical="center"/>
      <protection hidden="1"/>
    </xf>
    <xf numFmtId="0" fontId="6" fillId="0" borderId="3" xfId="0" applyFont="1" applyBorder="1" applyAlignment="1" applyProtection="1">
      <alignment horizontal="right" vertical="center"/>
      <protection hidden="1"/>
    </xf>
    <xf numFmtId="169" fontId="6" fillId="2" borderId="1" xfId="0" applyNumberFormat="1" applyFont="1" applyFill="1" applyBorder="1" applyAlignment="1" applyProtection="1">
      <alignment horizontal="center" vertical="center"/>
      <protection locked="0"/>
    </xf>
    <xf numFmtId="169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117" xfId="0" applyFont="1" applyBorder="1" applyAlignment="1" applyProtection="1">
      <alignment horizontal="right" vertical="center"/>
      <protection hidden="1"/>
    </xf>
    <xf numFmtId="0" fontId="6" fillId="0" borderId="148" xfId="0" applyFont="1" applyBorder="1" applyAlignment="1" applyProtection="1">
      <alignment horizontal="right" vertical="center"/>
      <protection hidden="1"/>
    </xf>
    <xf numFmtId="0" fontId="6" fillId="0" borderId="118" xfId="0" applyFont="1" applyBorder="1" applyAlignment="1" applyProtection="1">
      <alignment horizontal="right" vertical="center"/>
      <protection hidden="1"/>
    </xf>
    <xf numFmtId="0" fontId="18" fillId="0" borderId="2" xfId="0" applyFont="1" applyBorder="1" applyAlignment="1" applyProtection="1">
      <alignment horizontal="right"/>
      <protection hidden="1"/>
    </xf>
    <xf numFmtId="0" fontId="18" fillId="0" borderId="3" xfId="0" applyFont="1" applyBorder="1" applyAlignment="1" applyProtection="1">
      <alignment horizontal="right"/>
      <protection hidden="1"/>
    </xf>
    <xf numFmtId="0" fontId="61" fillId="0" borderId="2" xfId="0" applyFont="1" applyBorder="1" applyAlignment="1" applyProtection="1">
      <alignment horizontal="right"/>
      <protection hidden="1"/>
    </xf>
    <xf numFmtId="168" fontId="6" fillId="2" borderId="1" xfId="0" applyNumberFormat="1" applyFont="1" applyFill="1" applyBorder="1" applyAlignment="1" applyProtection="1">
      <alignment horizontal="center" vertical="center"/>
      <protection locked="0"/>
    </xf>
    <xf numFmtId="168" fontId="6" fillId="2" borderId="3" xfId="0" applyNumberFormat="1" applyFont="1" applyFill="1" applyBorder="1" applyAlignment="1" applyProtection="1">
      <alignment horizontal="center" vertical="center"/>
      <protection locked="0"/>
    </xf>
    <xf numFmtId="0" fontId="6" fillId="0" borderId="20" xfId="0" applyFont="1" applyBorder="1" applyAlignment="1" applyProtection="1">
      <alignment horizontal="right"/>
      <protection hidden="1"/>
    </xf>
    <xf numFmtId="0" fontId="6" fillId="0" borderId="19" xfId="0" applyFont="1" applyBorder="1" applyAlignment="1" applyProtection="1">
      <alignment horizontal="right"/>
      <protection hidden="1"/>
    </xf>
    <xf numFmtId="0" fontId="6" fillId="0" borderId="28" xfId="0" applyFont="1" applyBorder="1" applyAlignment="1" applyProtection="1">
      <alignment horizontal="right"/>
      <protection hidden="1"/>
    </xf>
    <xf numFmtId="0" fontId="5" fillId="0" borderId="40" xfId="0" applyFont="1" applyBorder="1" applyAlignment="1" applyProtection="1">
      <alignment horizontal="center" vertical="center"/>
      <protection hidden="1"/>
    </xf>
    <xf numFmtId="0" fontId="5" fillId="0" borderId="24" xfId="0" applyFont="1" applyBorder="1" applyAlignment="1" applyProtection="1">
      <alignment horizontal="center" vertical="center"/>
      <protection hidden="1"/>
    </xf>
    <xf numFmtId="0" fontId="6" fillId="0" borderId="10" xfId="0" applyFont="1" applyBorder="1" applyAlignment="1" applyProtection="1">
      <alignment horizontal="right"/>
      <protection hidden="1"/>
    </xf>
    <xf numFmtId="0" fontId="6" fillId="0" borderId="21" xfId="0" applyFont="1" applyBorder="1" applyAlignment="1" applyProtection="1">
      <alignment horizontal="right"/>
      <protection hidden="1"/>
    </xf>
    <xf numFmtId="0" fontId="6" fillId="0" borderId="29" xfId="0" applyFont="1" applyBorder="1" applyAlignment="1" applyProtection="1">
      <alignment horizontal="right"/>
      <protection hidden="1"/>
    </xf>
    <xf numFmtId="21" fontId="6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3" xfId="0" applyFont="1" applyFill="1" applyBorder="1" applyAlignment="1" applyProtection="1">
      <alignment horizontal="center" vertical="center"/>
      <protection locked="0"/>
    </xf>
    <xf numFmtId="173" fontId="6" fillId="0" borderId="51" xfId="0" applyNumberFormat="1" applyFont="1" applyBorder="1" applyAlignment="1" applyProtection="1">
      <alignment horizontal="right"/>
      <protection hidden="1"/>
    </xf>
    <xf numFmtId="173" fontId="6" fillId="0" borderId="50" xfId="0" applyNumberFormat="1" applyFont="1" applyBorder="1" applyAlignment="1" applyProtection="1">
      <alignment horizontal="right"/>
      <protection hidden="1"/>
    </xf>
    <xf numFmtId="168" fontId="18" fillId="0" borderId="5" xfId="0" applyNumberFormat="1" applyFont="1" applyBorder="1" applyAlignment="1" applyProtection="1">
      <alignment horizontal="center" vertical="center"/>
      <protection hidden="1"/>
    </xf>
    <xf numFmtId="0" fontId="18" fillId="0" borderId="5" xfId="0" applyFont="1" applyBorder="1" applyAlignment="1" applyProtection="1">
      <alignment horizontal="right" vertical="center"/>
      <protection hidden="1"/>
    </xf>
    <xf numFmtId="168" fontId="6" fillId="0" borderId="1" xfId="0" applyNumberFormat="1" applyFont="1" applyBorder="1" applyAlignment="1" applyProtection="1">
      <alignment horizontal="center"/>
      <protection hidden="1"/>
    </xf>
    <xf numFmtId="168" fontId="6" fillId="0" borderId="3" xfId="0" applyNumberFormat="1" applyFont="1" applyBorder="1" applyAlignment="1" applyProtection="1">
      <alignment horizontal="center"/>
      <protection hidden="1"/>
    </xf>
    <xf numFmtId="168" fontId="6" fillId="0" borderId="2" xfId="0" applyNumberFormat="1" applyFont="1" applyBorder="1" applyAlignment="1" applyProtection="1">
      <alignment horizontal="center"/>
      <protection hidden="1"/>
    </xf>
    <xf numFmtId="173" fontId="6" fillId="0" borderId="62" xfId="0" applyNumberFormat="1" applyFont="1" applyBorder="1" applyAlignment="1" applyProtection="1">
      <alignment horizontal="right"/>
      <protection hidden="1"/>
    </xf>
    <xf numFmtId="173" fontId="6" fillId="0" borderId="63" xfId="0" applyNumberFormat="1" applyFont="1" applyBorder="1" applyAlignment="1" applyProtection="1">
      <alignment horizontal="right"/>
      <protection hidden="1"/>
    </xf>
    <xf numFmtId="173" fontId="6" fillId="0" borderId="47" xfId="0" applyNumberFormat="1" applyFont="1" applyBorder="1" applyAlignment="1" applyProtection="1">
      <alignment horizontal="right"/>
      <protection hidden="1"/>
    </xf>
    <xf numFmtId="173" fontId="6" fillId="0" borderId="46" xfId="0" applyNumberFormat="1" applyFont="1" applyBorder="1" applyAlignment="1" applyProtection="1">
      <alignment horizontal="right"/>
      <protection hidden="1"/>
    </xf>
    <xf numFmtId="0" fontId="27" fillId="0" borderId="91" xfId="0" applyFont="1" applyBorder="1" applyAlignment="1" applyProtection="1">
      <alignment horizontal="center" vertical="center"/>
      <protection hidden="1"/>
    </xf>
    <xf numFmtId="0" fontId="27" fillId="0" borderId="92" xfId="0" applyFont="1" applyBorder="1" applyAlignment="1" applyProtection="1">
      <alignment horizontal="center" vertical="center"/>
      <protection hidden="1"/>
    </xf>
    <xf numFmtId="0" fontId="27" fillId="0" borderId="93" xfId="0" applyFont="1" applyBorder="1" applyAlignment="1" applyProtection="1">
      <alignment horizontal="center" vertical="center"/>
      <protection hidden="1"/>
    </xf>
    <xf numFmtId="0" fontId="5" fillId="0" borderId="94" xfId="0" applyFont="1" applyBorder="1" applyAlignment="1" applyProtection="1">
      <alignment horizontal="right" vertical="center"/>
      <protection hidden="1"/>
    </xf>
    <xf numFmtId="0" fontId="5" fillId="0" borderId="95" xfId="0" applyFont="1" applyBorder="1" applyAlignment="1" applyProtection="1">
      <alignment horizontal="right" vertical="center"/>
      <protection hidden="1"/>
    </xf>
    <xf numFmtId="0" fontId="5" fillId="0" borderId="97" xfId="0" applyFont="1" applyBorder="1" applyAlignment="1" applyProtection="1">
      <alignment horizontal="right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</cellXfs>
  <cellStyles count="177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Besuchter Hyperlink" xfId="132" builtinId="9" hidden="1"/>
    <cellStyle name="Besuchter Hyperlink" xfId="134" builtinId="9" hidden="1"/>
    <cellStyle name="Besuchter Hyperlink" xfId="136" builtinId="9" hidden="1"/>
    <cellStyle name="Besuchter Hyperlink" xfId="138" builtinId="9" hidden="1"/>
    <cellStyle name="Besuchter Hyperlink" xfId="140" builtinId="9" hidden="1"/>
    <cellStyle name="Besuchter Hyperlink" xfId="142" builtinId="9" hidden="1"/>
    <cellStyle name="Besuchter Hyperlink" xfId="144" builtinId="9" hidden="1"/>
    <cellStyle name="Besuchter Hyperlink" xfId="146" builtinId="9" hidden="1"/>
    <cellStyle name="Besuchter Hyperlink" xfId="148" builtinId="9" hidden="1"/>
    <cellStyle name="Besuchter Hyperlink" xfId="150" builtinId="9" hidden="1"/>
    <cellStyle name="Besuchter Hyperlink" xfId="152" builtinId="9" hidden="1"/>
    <cellStyle name="Besuchter Hyperlink" xfId="154" builtinId="9" hidden="1"/>
    <cellStyle name="Besuchter Hyperlink" xfId="156" builtinId="9" hidden="1"/>
    <cellStyle name="Besuchter Hyperlink" xfId="158" builtinId="9" hidden="1"/>
    <cellStyle name="Besuchter Hyperlink" xfId="160" builtinId="9" hidden="1"/>
    <cellStyle name="Besuchter Hyperlink" xfId="162" builtinId="9" hidden="1"/>
    <cellStyle name="Besuchter Hyperlink" xfId="164" builtinId="9" hidden="1"/>
    <cellStyle name="Besuchter Hyperlink" xfId="166" builtinId="9" hidden="1"/>
    <cellStyle name="Besuchter Hyperlink" xfId="168" builtinId="9" hidden="1"/>
    <cellStyle name="Besuchter Hyperlink" xfId="170" builtinId="9" hidden="1"/>
    <cellStyle name="Besuchter Hyperlink" xfId="172" builtinId="9" hidden="1"/>
    <cellStyle name="Besuchter Hyperlink" xfId="174" builtinId="9" hidden="1"/>
    <cellStyle name="Besuchter Hyperlink" xfId="176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Link" xfId="131" builtinId="8" hidden="1"/>
    <cellStyle name="Link" xfId="133" builtinId="8" hidden="1"/>
    <cellStyle name="Link" xfId="135" builtinId="8" hidden="1"/>
    <cellStyle name="Link" xfId="137" builtinId="8" hidden="1"/>
    <cellStyle name="Link" xfId="139" builtinId="8" hidden="1"/>
    <cellStyle name="Link" xfId="141" builtinId="8" hidden="1"/>
    <cellStyle name="Link" xfId="143" builtinId="8" hidden="1"/>
    <cellStyle name="Link" xfId="145" builtinId="8" hidden="1"/>
    <cellStyle name="Link" xfId="147" builtinId="8" hidden="1"/>
    <cellStyle name="Link" xfId="149" builtinId="8" hidden="1"/>
    <cellStyle name="Link" xfId="151" builtinId="8" hidden="1"/>
    <cellStyle name="Link" xfId="153" builtinId="8" hidden="1"/>
    <cellStyle name="Link" xfId="155" builtinId="8" hidden="1"/>
    <cellStyle name="Link" xfId="157" builtinId="8" hidden="1"/>
    <cellStyle name="Link" xfId="159" builtinId="8" hidden="1"/>
    <cellStyle name="Link" xfId="161" builtinId="8" hidden="1"/>
    <cellStyle name="Link" xfId="163" builtinId="8" hidden="1"/>
    <cellStyle name="Link" xfId="165" builtinId="8" hidden="1"/>
    <cellStyle name="Link" xfId="167" builtinId="8" hidden="1"/>
    <cellStyle name="Link" xfId="169" builtinId="8" hidden="1"/>
    <cellStyle name="Link" xfId="171" builtinId="8" hidden="1"/>
    <cellStyle name="Link" xfId="173" builtinId="8" hidden="1"/>
    <cellStyle name="Link" xfId="175" builtinId="8" hidden="1"/>
    <cellStyle name="Standard" xfId="0" builtinId="0"/>
  </cellStyles>
  <dxfs count="0"/>
  <tableStyles count="0" defaultTableStyle="TableStyleMedium9" defaultPivotStyle="PivotStyleMedium7"/>
  <colors>
    <mruColors>
      <color rgb="FFFFF803"/>
      <color rgb="FFFF9000"/>
      <color rgb="FFC05C16"/>
      <color rgb="FFFDFAD6"/>
      <color rgb="FFFAFDE0"/>
      <color rgb="FFFFA1A3"/>
      <color rgb="FFFF653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5560715686900663E-2"/>
          <c:y val="3.3710882293559459E-2"/>
          <c:w val="0.90708789897766273"/>
          <c:h val="0.94818499193624894"/>
        </c:manualLayout>
      </c:layout>
      <c:scatterChart>
        <c:scatterStyle val="smoothMarker"/>
        <c:varyColors val="0"/>
        <c:ser>
          <c:idx val="0"/>
          <c:order val="0"/>
          <c:spPr>
            <a:ln w="2540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-45.072827344302048</c:v>
                </c:pt>
                <c:pt idx="1">
                  <c:v>-45.072827344302048</c:v>
                </c:pt>
                <c:pt idx="2">
                  <c:v>-43.670111526728412</c:v>
                </c:pt>
                <c:pt idx="3">
                  <c:v>-41.05595399018317</c:v>
                </c:pt>
                <c:pt idx="4">
                  <c:v>-39.451773336526863</c:v>
                </c:pt>
                <c:pt idx="5">
                  <c:v>-38.195260505430568</c:v>
                </c:pt>
                <c:pt idx="6">
                  <c:v>-37.134826702145432</c:v>
                </c:pt>
                <c:pt idx="7">
                  <c:v>-36.205511947491097</c:v>
                </c:pt>
                <c:pt idx="8">
                  <c:v>-35.372263009656415</c:v>
                </c:pt>
                <c:pt idx="9">
                  <c:v>-34.613570271507314</c:v>
                </c:pt>
                <c:pt idx="10">
                  <c:v>-33.915088222919557</c:v>
                </c:pt>
                <c:pt idx="11">
                  <c:v>-33.2666705152036</c:v>
                </c:pt>
                <c:pt idx="12">
                  <c:v>-32.660819698567899</c:v>
                </c:pt>
                <c:pt idx="13">
                  <c:v>-32.091804477521968</c:v>
                </c:pt>
                <c:pt idx="14">
                  <c:v>-31.555123341732262</c:v>
                </c:pt>
                <c:pt idx="15">
                  <c:v>-31.047161528838171</c:v>
                </c:pt>
                <c:pt idx="16">
                  <c:v>-30.564962331553605</c:v>
                </c:pt>
                <c:pt idx="17">
                  <c:v>-30.106069302030555</c:v>
                </c:pt>
                <c:pt idx="18">
                  <c:v>-29.668414175891893</c:v>
                </c:pt>
                <c:pt idx="19">
                  <c:v>-29.250235275570606</c:v>
                </c:pt>
                <c:pt idx="20">
                  <c:v>-28.850016820024685</c:v>
                </c:pt>
                <c:pt idx="21">
                  <c:v>-28.466442933306361</c:v>
                </c:pt>
                <c:pt idx="22">
                  <c:v>-28.098362213727334</c:v>
                </c:pt>
                <c:pt idx="23">
                  <c:v>-27.744760036922031</c:v>
                </c:pt>
                <c:pt idx="24">
                  <c:v>-27.404736619952274</c:v>
                </c:pt>
                <c:pt idx="25">
                  <c:v>-27.077489442811181</c:v>
                </c:pt>
                <c:pt idx="26">
                  <c:v>-26.762299011293109</c:v>
                </c:pt>
                <c:pt idx="27">
                  <c:v>-26.458517214221455</c:v>
                </c:pt>
                <c:pt idx="28">
                  <c:v>-26.165557718003118</c:v>
                </c:pt>
                <c:pt idx="29">
                  <c:v>-25.882887977751519</c:v>
                </c:pt>
                <c:pt idx="30">
                  <c:v>-25.610022543383113</c:v>
                </c:pt>
                <c:pt idx="31">
                  <c:v>-25.346517412204722</c:v>
                </c:pt>
                <c:pt idx="32">
                  <c:v>-25.09196523407023</c:v>
                </c:pt>
                <c:pt idx="33">
                  <c:v>-24.845991216358211</c:v>
                </c:pt>
                <c:pt idx="34">
                  <c:v>-24.608249607416862</c:v>
                </c:pt>
                <c:pt idx="35">
                  <c:v>-24.378420661289713</c:v>
                </c:pt>
                <c:pt idx="36">
                  <c:v>-24.156208005308905</c:v>
                </c:pt>
                <c:pt idx="37">
                  <c:v>-23.941336346846533</c:v>
                </c:pt>
                <c:pt idx="38">
                  <c:v>-23.733549467121851</c:v>
                </c:pt>
                <c:pt idx="39">
                  <c:v>-23.532608459192836</c:v>
                </c:pt>
                <c:pt idx="40">
                  <c:v>-23.338290174651878</c:v>
                </c:pt>
                <c:pt idx="41">
                  <c:v>-23.150385849501003</c:v>
                </c:pt>
                <c:pt idx="42">
                  <c:v>-22.968699884514034</c:v>
                </c:pt>
                <c:pt idx="43">
                  <c:v>-22.7930487593304</c:v>
                </c:pt>
                <c:pt idx="44">
                  <c:v>-22.623260062757765</c:v>
                </c:pt>
                <c:pt idx="45">
                  <c:v>-22.459171624422435</c:v>
                </c:pt>
                <c:pt idx="46">
                  <c:v>-22.300630735113426</c:v>
                </c:pt>
                <c:pt idx="47">
                  <c:v>-22.147493445001597</c:v>
                </c:pt>
                <c:pt idx="48">
                  <c:v>-21.999623930450952</c:v>
                </c:pt>
                <c:pt idx="49">
                  <c:v>-21.85689392142725</c:v>
                </c:pt>
                <c:pt idx="50">
                  <c:v>-21.719182182596114</c:v>
                </c:pt>
                <c:pt idx="51">
                  <c:v>-21.586374042122184</c:v>
                </c:pt>
                <c:pt idx="52">
                  <c:v>-21.458360962961258</c:v>
                </c:pt>
                <c:pt idx="53">
                  <c:v>-21.335040152103598</c:v>
                </c:pt>
                <c:pt idx="54">
                  <c:v>-21.2163142037966</c:v>
                </c:pt>
                <c:pt idx="55">
                  <c:v>-21.102090773261324</c:v>
                </c:pt>
                <c:pt idx="56">
                  <c:v>-20.99228227784177</c:v>
                </c:pt>
                <c:pt idx="57">
                  <c:v>-20.886805622884975</c:v>
                </c:pt>
                <c:pt idx="58">
                  <c:v>-20.785581949967799</c:v>
                </c:pt>
                <c:pt idx="59">
                  <c:v>-20.688536405357549</c:v>
                </c:pt>
                <c:pt idx="60">
                  <c:v>-20.595597926831996</c:v>
                </c:pt>
                <c:pt idx="61">
                  <c:v>-20.506699047192388</c:v>
                </c:pt>
                <c:pt idx="62">
                  <c:v>-20.421775712984235</c:v>
                </c:pt>
                <c:pt idx="63">
                  <c:v>-20.340767117100651</c:v>
                </c:pt>
                <c:pt idx="64">
                  <c:v>-20.263615544083226</c:v>
                </c:pt>
                <c:pt idx="65">
                  <c:v>-20.190266227059027</c:v>
                </c:pt>
                <c:pt idx="66">
                  <c:v>-20.120667215362168</c:v>
                </c:pt>
                <c:pt idx="67">
                  <c:v>-20.054769251984325</c:v>
                </c:pt>
                <c:pt idx="68">
                  <c:v>-19.992525660086077</c:v>
                </c:pt>
                <c:pt idx="69">
                  <c:v>-19.933892237875895</c:v>
                </c:pt>
                <c:pt idx="70">
                  <c:v>-19.878827161233165</c:v>
                </c:pt>
                <c:pt idx="71">
                  <c:v>-19.827290893511766</c:v>
                </c:pt>
                <c:pt idx="72">
                  <c:v>-19.779246102016462</c:v>
                </c:pt>
                <c:pt idx="73">
                  <c:v>-19.734657580691913</c:v>
                </c:pt>
                <c:pt idx="74">
                  <c:v>-19.693492178609997</c:v>
                </c:pt>
                <c:pt idx="75">
                  <c:v>-19.655718733879997</c:v>
                </c:pt>
                <c:pt idx="76">
                  <c:v>-19.621308012642402</c:v>
                </c:pt>
                <c:pt idx="77">
                  <c:v>-19.590232652840257</c:v>
                </c:pt>
                <c:pt idx="78">
                  <c:v>-19.562467112491113</c:v>
                </c:pt>
                <c:pt idx="79">
                  <c:v>-19.537987622210657</c:v>
                </c:pt>
                <c:pt idx="80">
                  <c:v>-19.516772141762715</c:v>
                </c:pt>
                <c:pt idx="81">
                  <c:v>-19.498800320434778</c:v>
                </c:pt>
                <c:pt idx="82">
                  <c:v>-19.48405346105729</c:v>
                </c:pt>
                <c:pt idx="83">
                  <c:v>-19.472514487506462</c:v>
                </c:pt>
                <c:pt idx="84">
                  <c:v>-19.464167915546565</c:v>
                </c:pt>
                <c:pt idx="85">
                  <c:v>-19.458999826885865</c:v>
                </c:pt>
                <c:pt idx="86">
                  <c:v>-19.456997846335781</c:v>
                </c:pt>
                <c:pt idx="87">
                  <c:v>-19.458151121977348</c:v>
                </c:pt>
                <c:pt idx="88">
                  <c:v>-19.46245030825386</c:v>
                </c:pt>
                <c:pt idx="89">
                  <c:v>-19.469887551921886</c:v>
                </c:pt>
                <c:pt idx="90">
                  <c:v>-19.480456480805685</c:v>
                </c:pt>
                <c:pt idx="91">
                  <c:v>-19.494152195312921</c:v>
                </c:pt>
                <c:pt idx="92">
                  <c:v>-19.510971262681515</c:v>
                </c:pt>
                <c:pt idx="93">
                  <c:v>-19.530911713939759</c:v>
                </c:pt>
                <c:pt idx="94">
                  <c:v>-19.553973043573887</c:v>
                </c:pt>
                <c:pt idx="95">
                  <c:v>-19.580156211908722</c:v>
                </c:pt>
                <c:pt idx="96">
                  <c:v>-19.609463650219467</c:v>
                </c:pt>
                <c:pt idx="97">
                  <c:v>-19.641899268604785</c:v>
                </c:pt>
                <c:pt idx="98">
                  <c:v>-19.677468466663441</c:v>
                </c:pt>
                <c:pt idx="99">
                  <c:v>-19.716178147029961</c:v>
                </c:pt>
                <c:pt idx="100">
                  <c:v>-19.758036731837876</c:v>
                </c:pt>
                <c:pt idx="101">
                  <c:v>-19.803054182192831</c:v>
                </c:pt>
                <c:pt idx="102">
                  <c:v>-19.851242020752856</c:v>
                </c:pt>
                <c:pt idx="103">
                  <c:v>-19.902613357527745</c:v>
                </c:pt>
                <c:pt idx="104">
                  <c:v>-19.957182919027179</c:v>
                </c:pt>
                <c:pt idx="105">
                  <c:v>-20.014967080903265</c:v>
                </c:pt>
                <c:pt idx="106">
                  <c:v>-20.075983904253142</c:v>
                </c:pt>
                <c:pt idx="107">
                  <c:v>-20.140253175767626</c:v>
                </c:pt>
                <c:pt idx="108">
                  <c:v>-20.207796451933167</c:v>
                </c:pt>
                <c:pt idx="109">
                  <c:v>-20.278637107519664</c:v>
                </c:pt>
                <c:pt idx="110">
                  <c:v>-20.352800388611815</c:v>
                </c:pt>
                <c:pt idx="111">
                  <c:v>-20.430313470471553</c:v>
                </c:pt>
                <c:pt idx="112">
                  <c:v>-20.511205520550337</c:v>
                </c:pt>
                <c:pt idx="113">
                  <c:v>-20.595507767004964</c:v>
                </c:pt>
                <c:pt idx="114">
                  <c:v>-20.683253573109841</c:v>
                </c:pt>
                <c:pt idx="115">
                  <c:v>-20.774478518001047</c:v>
                </c:pt>
                <c:pt idx="116">
                  <c:v>-20.869220484235914</c:v>
                </c:pt>
                <c:pt idx="117">
                  <c:v>-20.967519752704433</c:v>
                </c:pt>
                <c:pt idx="118">
                  <c:v>-21.069419105488794</c:v>
                </c:pt>
                <c:pt idx="119">
                  <c:v>-21.174963937334393</c:v>
                </c:pt>
                <c:pt idx="120">
                  <c:v>-21.284202376469388</c:v>
                </c:pt>
                <c:pt idx="121">
                  <c:v>-21.397185415595434</c:v>
                </c:pt>
                <c:pt idx="122">
                  <c:v>-21.51396705396655</c:v>
                </c:pt>
                <c:pt idx="123">
                  <c:v>-21.634604451580987</c:v>
                </c:pt>
                <c:pt idx="124">
                  <c:v>-21.759158096631936</c:v>
                </c:pt>
                <c:pt idx="125">
                  <c:v>-21.887691987503132</c:v>
                </c:pt>
                <c:pt idx="126">
                  <c:v>-22.020273830750941</c:v>
                </c:pt>
                <c:pt idx="127">
                  <c:v>-22.156975256695979</c:v>
                </c:pt>
                <c:pt idx="128">
                  <c:v>-22.297872054453109</c:v>
                </c:pt>
                <c:pt idx="129">
                  <c:v>-22.443044428464784</c:v>
                </c:pt>
                <c:pt idx="130">
                  <c:v>-22.592577278875218</c:v>
                </c:pt>
                <c:pt idx="131">
                  <c:v>-22.746560508396946</c:v>
                </c:pt>
                <c:pt idx="132">
                  <c:v>-22.905089358685327</c:v>
                </c:pt>
                <c:pt idx="133">
                  <c:v>-23.068264779657426</c:v>
                </c:pt>
                <c:pt idx="134">
                  <c:v>-23.236193835685636</c:v>
                </c:pt>
                <c:pt idx="135">
                  <c:v>-23.408990153167768</c:v>
                </c:pt>
                <c:pt idx="136">
                  <c:v>-23.586774414651568</c:v>
                </c:pt>
                <c:pt idx="137">
                  <c:v>-23.769674905482034</c:v>
                </c:pt>
                <c:pt idx="138">
                  <c:v>-23.957828119875426</c:v>
                </c:pt>
                <c:pt idx="139">
                  <c:v>-24.151379434433146</c:v>
                </c:pt>
                <c:pt idx="140">
                  <c:v>-24.350483858427594</c:v>
                </c:pt>
                <c:pt idx="141">
                  <c:v>-24.555306871768355</c:v>
                </c:pt>
                <c:pt idx="142">
                  <c:v>-24.766025363450165</c:v>
                </c:pt>
                <c:pt idx="143">
                  <c:v>-24.982828685565856</c:v>
                </c:pt>
                <c:pt idx="144">
                  <c:v>-25.205919840732633</c:v>
                </c:pt>
                <c:pt idx="145">
                  <c:v>-25.435516824147879</c:v>
                </c:pt>
                <c:pt idx="146">
                  <c:v>-25.671854145615146</c:v>
                </c:pt>
                <c:pt idx="147">
                  <c:v>-25.915184561959649</c:v>
                </c:pt>
                <c:pt idx="148">
                  <c:v>-26.16578105654505</c:v>
                </c:pt>
                <c:pt idx="149">
                  <c:v>-26.423939110450124</c:v>
                </c:pt>
                <c:pt idx="150">
                  <c:v>-26.689979319713078</c:v>
                </c:pt>
                <c:pt idx="151">
                  <c:v>-26.964250425506712</c:v>
                </c:pt>
                <c:pt idx="152">
                  <c:v>-27.247132839976146</c:v>
                </c:pt>
                <c:pt idx="153">
                  <c:v>-27.539042770858163</c:v>
                </c:pt>
                <c:pt idx="154">
                  <c:v>-27.840437074422375</c:v>
                </c:pt>
                <c:pt idx="155">
                  <c:v>-28.151819000837111</c:v>
                </c:pt>
                <c:pt idx="156">
                  <c:v>-28.473745041742454</c:v>
                </c:pt>
                <c:pt idx="157">
                  <c:v>-28.806833150837786</c:v>
                </c:pt>
                <c:pt idx="158">
                  <c:v>-29.151772690794107</c:v>
                </c:pt>
                <c:pt idx="159">
                  <c:v>-29.509336572774348</c:v>
                </c:pt>
                <c:pt idx="160">
                  <c:v>-29.88039621172242</c:v>
                </c:pt>
                <c:pt idx="161">
                  <c:v>-30.265940141774365</c:v>
                </c:pt>
                <c:pt idx="162">
                  <c:v>-30.667097453311396</c:v>
                </c:pt>
                <c:pt idx="163">
                  <c:v>-31.08516767645003</c:v>
                </c:pt>
                <c:pt idx="164">
                  <c:v>-31.521659426543387</c:v>
                </c:pt>
                <c:pt idx="165">
                  <c:v>-31.978341181194605</c:v>
                </c:pt>
                <c:pt idx="166">
                  <c:v>-32.457309208363384</c:v>
                </c:pt>
                <c:pt idx="167">
                  <c:v>-32.96108032532711</c:v>
                </c:pt>
                <c:pt idx="168">
                  <c:v>-33.49272160282284</c:v>
                </c:pt>
                <c:pt idx="169">
                  <c:v>-34.05603681256764</c:v>
                </c:pt>
                <c:pt idx="170">
                  <c:v>-34.655843346047071</c:v>
                </c:pt>
                <c:pt idx="171">
                  <c:v>-35.298399976662317</c:v>
                </c:pt>
                <c:pt idx="172">
                  <c:v>-35.992100214942461</c:v>
                </c:pt>
                <c:pt idx="173">
                  <c:v>-36.74866624722317</c:v>
                </c:pt>
                <c:pt idx="174">
                  <c:v>-37.585372919759216</c:v>
                </c:pt>
                <c:pt idx="175">
                  <c:v>-38.529657208756454</c:v>
                </c:pt>
                <c:pt idx="176">
                  <c:v>-39.630275731202666</c:v>
                </c:pt>
                <c:pt idx="177">
                  <c:v>-40.992085541964471</c:v>
                </c:pt>
                <c:pt idx="178">
                  <c:v>-42.961779682586744</c:v>
                </c:pt>
                <c:pt idx="179">
                  <c:v>-45.140653603523617</c:v>
                </c:pt>
                <c:pt idx="180">
                  <c:v>-45.140653603523617</c:v>
                </c:pt>
                <c:pt idx="181">
                  <c:v>-45.140653603523617</c:v>
                </c:pt>
                <c:pt idx="182">
                  <c:v>-45.140653603523617</c:v>
                </c:pt>
                <c:pt idx="183">
                  <c:v>-45.140653603523617</c:v>
                </c:pt>
                <c:pt idx="184">
                  <c:v>-45.140653603523617</c:v>
                </c:pt>
                <c:pt idx="185">
                  <c:v>-45.140653603523617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899-5649-96E2-64AEA5682F16}"/>
            </c:ext>
          </c:extLst>
        </c:ser>
        <c:ser>
          <c:idx val="1"/>
          <c:order val="1"/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-46.663214713314595</c:v>
                </c:pt>
                <c:pt idx="1">
                  <c:v>-46.663214713314595</c:v>
                </c:pt>
                <c:pt idx="2">
                  <c:v>-48.065930530888231</c:v>
                </c:pt>
                <c:pt idx="3">
                  <c:v>-50.680088067433473</c:v>
                </c:pt>
                <c:pt idx="4">
                  <c:v>-52.284268721089774</c:v>
                </c:pt>
                <c:pt idx="5">
                  <c:v>-53.540781552186075</c:v>
                </c:pt>
                <c:pt idx="6">
                  <c:v>-54.601215355471211</c:v>
                </c:pt>
                <c:pt idx="7">
                  <c:v>-55.530530110125547</c:v>
                </c:pt>
                <c:pt idx="8">
                  <c:v>-56.363779047960229</c:v>
                </c:pt>
                <c:pt idx="9">
                  <c:v>-57.12247178610933</c:v>
                </c:pt>
                <c:pt idx="10">
                  <c:v>-57.820953834697079</c:v>
                </c:pt>
                <c:pt idx="11">
                  <c:v>-58.46937154241305</c:v>
                </c:pt>
                <c:pt idx="12">
                  <c:v>-59.075222359048752</c:v>
                </c:pt>
                <c:pt idx="13">
                  <c:v>-59.644237580094668</c:v>
                </c:pt>
                <c:pt idx="14">
                  <c:v>-60.180918715884374</c:v>
                </c:pt>
                <c:pt idx="15">
                  <c:v>-60.688880528778476</c:v>
                </c:pt>
                <c:pt idx="16">
                  <c:v>-61.171079726063034</c:v>
                </c:pt>
                <c:pt idx="17">
                  <c:v>-61.629972755586081</c:v>
                </c:pt>
                <c:pt idx="18">
                  <c:v>-62.067627881724754</c:v>
                </c:pt>
                <c:pt idx="19">
                  <c:v>-62.485806782046048</c:v>
                </c:pt>
                <c:pt idx="20">
                  <c:v>-62.886025237591952</c:v>
                </c:pt>
                <c:pt idx="21">
                  <c:v>-63.269599124310275</c:v>
                </c:pt>
                <c:pt idx="22">
                  <c:v>-63.637679843889316</c:v>
                </c:pt>
                <c:pt idx="23">
                  <c:v>-63.991282020694619</c:v>
                </c:pt>
                <c:pt idx="24">
                  <c:v>-64.331305437664369</c:v>
                </c:pt>
                <c:pt idx="25">
                  <c:v>-64.658552614805473</c:v>
                </c:pt>
                <c:pt idx="26">
                  <c:v>-64.973743046323534</c:v>
                </c:pt>
                <c:pt idx="27">
                  <c:v>-65.277524843395184</c:v>
                </c:pt>
                <c:pt idx="28">
                  <c:v>-65.570484339613515</c:v>
                </c:pt>
                <c:pt idx="29">
                  <c:v>-65.853154079865135</c:v>
                </c:pt>
                <c:pt idx="30">
                  <c:v>-66.126019514233519</c:v>
                </c:pt>
                <c:pt idx="31">
                  <c:v>-66.38952464541191</c:v>
                </c:pt>
                <c:pt idx="32">
                  <c:v>-66.644076823546399</c:v>
                </c:pt>
                <c:pt idx="33">
                  <c:v>-66.890050841258429</c:v>
                </c:pt>
                <c:pt idx="34">
                  <c:v>-67.127792450199777</c:v>
                </c:pt>
                <c:pt idx="35">
                  <c:v>-67.35762139632692</c:v>
                </c:pt>
                <c:pt idx="36">
                  <c:v>-67.579834052307731</c:v>
                </c:pt>
                <c:pt idx="37">
                  <c:v>-67.794705710770117</c:v>
                </c:pt>
                <c:pt idx="38">
                  <c:v>-68.002492590494782</c:v>
                </c:pt>
                <c:pt idx="39">
                  <c:v>-68.2034335984238</c:v>
                </c:pt>
                <c:pt idx="40">
                  <c:v>-68.397751882964755</c:v>
                </c:pt>
                <c:pt idx="41">
                  <c:v>-68.585656208115637</c:v>
                </c:pt>
                <c:pt idx="42">
                  <c:v>-68.767342173102605</c:v>
                </c:pt>
                <c:pt idx="43">
                  <c:v>-68.942993298286254</c:v>
                </c:pt>
                <c:pt idx="44">
                  <c:v>-69.112781994858878</c:v>
                </c:pt>
                <c:pt idx="45">
                  <c:v>-69.276870433194205</c:v>
                </c:pt>
                <c:pt idx="46">
                  <c:v>-69.435411322503214</c:v>
                </c:pt>
                <c:pt idx="47">
                  <c:v>-69.588548612615043</c:v>
                </c:pt>
                <c:pt idx="48">
                  <c:v>-69.736418127165692</c:v>
                </c:pt>
                <c:pt idx="49">
                  <c:v>-69.879148136189386</c:v>
                </c:pt>
                <c:pt idx="50">
                  <c:v>-70.016859875020529</c:v>
                </c:pt>
                <c:pt idx="51">
                  <c:v>-70.14966801549447</c:v>
                </c:pt>
                <c:pt idx="52">
                  <c:v>-70.277681094655392</c:v>
                </c:pt>
                <c:pt idx="53">
                  <c:v>-70.401001905513041</c:v>
                </c:pt>
                <c:pt idx="54">
                  <c:v>-70.519727853820029</c:v>
                </c:pt>
                <c:pt idx="55">
                  <c:v>-70.633951284355305</c:v>
                </c:pt>
                <c:pt idx="56">
                  <c:v>-70.743759779774862</c:v>
                </c:pt>
                <c:pt idx="57">
                  <c:v>-70.849236434731679</c:v>
                </c:pt>
                <c:pt idx="58">
                  <c:v>-70.950460107648851</c:v>
                </c:pt>
                <c:pt idx="59">
                  <c:v>-71.04750565225909</c:v>
                </c:pt>
                <c:pt idx="60">
                  <c:v>-71.140444130784644</c:v>
                </c:pt>
                <c:pt idx="61">
                  <c:v>-71.229343010424245</c:v>
                </c:pt>
                <c:pt idx="62">
                  <c:v>-71.314266344632401</c:v>
                </c:pt>
                <c:pt idx="63">
                  <c:v>-71.395274940516003</c:v>
                </c:pt>
                <c:pt idx="64">
                  <c:v>-71.472426513533406</c:v>
                </c:pt>
                <c:pt idx="65">
                  <c:v>-71.545775830557616</c:v>
                </c:pt>
                <c:pt idx="66">
                  <c:v>-71.615374842254468</c:v>
                </c:pt>
                <c:pt idx="67">
                  <c:v>-71.681272805632318</c:v>
                </c:pt>
                <c:pt idx="68">
                  <c:v>-71.743516397530556</c:v>
                </c:pt>
                <c:pt idx="69">
                  <c:v>-71.802149819740748</c:v>
                </c:pt>
                <c:pt idx="70">
                  <c:v>-71.857214896383468</c:v>
                </c:pt>
                <c:pt idx="71">
                  <c:v>-71.908751164104871</c:v>
                </c:pt>
                <c:pt idx="72">
                  <c:v>-71.956795955600171</c:v>
                </c:pt>
                <c:pt idx="73">
                  <c:v>-72.001384476924741</c:v>
                </c:pt>
                <c:pt idx="74">
                  <c:v>-72.042549879006643</c:v>
                </c:pt>
                <c:pt idx="75">
                  <c:v>-72.08032332373665</c:v>
                </c:pt>
                <c:pt idx="76">
                  <c:v>-72.114734044974242</c:v>
                </c:pt>
                <c:pt idx="77">
                  <c:v>-72.145809404776372</c:v>
                </c:pt>
                <c:pt idx="78">
                  <c:v>-72.173574945125537</c:v>
                </c:pt>
                <c:pt idx="79">
                  <c:v>-72.198054435405979</c:v>
                </c:pt>
                <c:pt idx="80">
                  <c:v>-72.219269915853928</c:v>
                </c:pt>
                <c:pt idx="81">
                  <c:v>-72.237241737181861</c:v>
                </c:pt>
                <c:pt idx="82">
                  <c:v>-72.251988596559343</c:v>
                </c:pt>
                <c:pt idx="83">
                  <c:v>-72.263527570110185</c:v>
                </c:pt>
                <c:pt idx="84">
                  <c:v>-72.271874142070075</c:v>
                </c:pt>
                <c:pt idx="85">
                  <c:v>-72.277042230730785</c:v>
                </c:pt>
                <c:pt idx="86">
                  <c:v>-72.279044211280862</c:v>
                </c:pt>
                <c:pt idx="87">
                  <c:v>-72.277890935639306</c:v>
                </c:pt>
                <c:pt idx="88">
                  <c:v>-72.273591749362794</c:v>
                </c:pt>
                <c:pt idx="89">
                  <c:v>-72.266154505694757</c:v>
                </c:pt>
                <c:pt idx="90">
                  <c:v>-72.255585576810958</c:v>
                </c:pt>
                <c:pt idx="91">
                  <c:v>-72.241889862303708</c:v>
                </c:pt>
                <c:pt idx="92">
                  <c:v>-72.225070794935121</c:v>
                </c:pt>
                <c:pt idx="93">
                  <c:v>-72.205130343676885</c:v>
                </c:pt>
                <c:pt idx="94">
                  <c:v>-72.182069014042767</c:v>
                </c:pt>
                <c:pt idx="95">
                  <c:v>-72.155885845707914</c:v>
                </c:pt>
                <c:pt idx="96">
                  <c:v>-72.126578407397176</c:v>
                </c:pt>
                <c:pt idx="97">
                  <c:v>-72.094142789011869</c:v>
                </c:pt>
                <c:pt idx="98">
                  <c:v>-72.058573590953188</c:v>
                </c:pt>
                <c:pt idx="99">
                  <c:v>-72.019863910586693</c:v>
                </c:pt>
                <c:pt idx="100">
                  <c:v>-71.978005325778767</c:v>
                </c:pt>
                <c:pt idx="101">
                  <c:v>-71.932987875423819</c:v>
                </c:pt>
                <c:pt idx="102">
                  <c:v>-71.88480003686378</c:v>
                </c:pt>
                <c:pt idx="103">
                  <c:v>-71.833428700088888</c:v>
                </c:pt>
                <c:pt idx="104">
                  <c:v>-71.778859138589468</c:v>
                </c:pt>
                <c:pt idx="105">
                  <c:v>-71.721074976713368</c:v>
                </c:pt>
                <c:pt idx="106">
                  <c:v>-71.660058153363494</c:v>
                </c:pt>
                <c:pt idx="107">
                  <c:v>-71.595788881849018</c:v>
                </c:pt>
                <c:pt idx="108">
                  <c:v>-71.528245605683466</c:v>
                </c:pt>
                <c:pt idx="109">
                  <c:v>-71.457404950096972</c:v>
                </c:pt>
                <c:pt idx="110">
                  <c:v>-71.383241669004818</c:v>
                </c:pt>
                <c:pt idx="111">
                  <c:v>-71.305728587145097</c:v>
                </c:pt>
                <c:pt idx="112">
                  <c:v>-71.224836537066309</c:v>
                </c:pt>
                <c:pt idx="113">
                  <c:v>-71.140534290611683</c:v>
                </c:pt>
                <c:pt idx="114">
                  <c:v>-71.052788484506806</c:v>
                </c:pt>
                <c:pt idx="115">
                  <c:v>-70.961563539615597</c:v>
                </c:pt>
                <c:pt idx="116">
                  <c:v>-70.866821573380719</c:v>
                </c:pt>
                <c:pt idx="117">
                  <c:v>-70.768522304912196</c:v>
                </c:pt>
                <c:pt idx="118">
                  <c:v>-70.666622952127852</c:v>
                </c:pt>
                <c:pt idx="119">
                  <c:v>-70.561078120282247</c:v>
                </c:pt>
                <c:pt idx="120">
                  <c:v>-70.451839681147248</c:v>
                </c:pt>
                <c:pt idx="121">
                  <c:v>-70.338856642021199</c:v>
                </c:pt>
                <c:pt idx="122">
                  <c:v>-70.222075003650104</c:v>
                </c:pt>
                <c:pt idx="123">
                  <c:v>-70.10143760603566</c:v>
                </c:pt>
                <c:pt idx="124">
                  <c:v>-69.976883960984708</c:v>
                </c:pt>
                <c:pt idx="125">
                  <c:v>-69.848350070113511</c:v>
                </c:pt>
                <c:pt idx="126">
                  <c:v>-69.715768226865706</c:v>
                </c:pt>
                <c:pt idx="127">
                  <c:v>-69.579066800920657</c:v>
                </c:pt>
                <c:pt idx="128">
                  <c:v>-69.438170003163535</c:v>
                </c:pt>
                <c:pt idx="129">
                  <c:v>-69.29299762915187</c:v>
                </c:pt>
                <c:pt idx="130">
                  <c:v>-69.143464778741418</c:v>
                </c:pt>
                <c:pt idx="131">
                  <c:v>-68.989481549219704</c:v>
                </c:pt>
                <c:pt idx="132">
                  <c:v>-68.830952698931313</c:v>
                </c:pt>
                <c:pt idx="133">
                  <c:v>-68.667777277959232</c:v>
                </c:pt>
                <c:pt idx="134">
                  <c:v>-68.499848221931018</c:v>
                </c:pt>
                <c:pt idx="135">
                  <c:v>-68.327051904448879</c:v>
                </c:pt>
                <c:pt idx="136">
                  <c:v>-68.149267642965071</c:v>
                </c:pt>
                <c:pt idx="137">
                  <c:v>-67.966367152134609</c:v>
                </c:pt>
                <c:pt idx="138">
                  <c:v>-67.778213937741228</c:v>
                </c:pt>
                <c:pt idx="139">
                  <c:v>-67.58466262318349</c:v>
                </c:pt>
                <c:pt idx="140">
                  <c:v>-67.385558199189049</c:v>
                </c:pt>
                <c:pt idx="141">
                  <c:v>-67.180735185848278</c:v>
                </c:pt>
                <c:pt idx="142">
                  <c:v>-66.970016694166489</c:v>
                </c:pt>
                <c:pt idx="143">
                  <c:v>-66.75321337205078</c:v>
                </c:pt>
                <c:pt idx="144">
                  <c:v>-66.53012221688401</c:v>
                </c:pt>
                <c:pt idx="145">
                  <c:v>-66.300525233468761</c:v>
                </c:pt>
                <c:pt idx="146">
                  <c:v>-66.064187912001486</c:v>
                </c:pt>
                <c:pt idx="147">
                  <c:v>-65.820857495656981</c:v>
                </c:pt>
                <c:pt idx="148">
                  <c:v>-65.5702610010716</c:v>
                </c:pt>
                <c:pt idx="149">
                  <c:v>-65.312102947166508</c:v>
                </c:pt>
                <c:pt idx="150">
                  <c:v>-65.046062737903569</c:v>
                </c:pt>
                <c:pt idx="151">
                  <c:v>-64.771791632109924</c:v>
                </c:pt>
                <c:pt idx="152">
                  <c:v>-64.488909217640497</c:v>
                </c:pt>
                <c:pt idx="153">
                  <c:v>-64.196999286758469</c:v>
                </c:pt>
                <c:pt idx="154">
                  <c:v>-63.895604983194275</c:v>
                </c:pt>
                <c:pt idx="155">
                  <c:v>-63.584223056779535</c:v>
                </c:pt>
                <c:pt idx="156">
                  <c:v>-63.262297015874182</c:v>
                </c:pt>
                <c:pt idx="157">
                  <c:v>-62.929208906778861</c:v>
                </c:pt>
                <c:pt idx="158">
                  <c:v>-62.584269366822539</c:v>
                </c:pt>
                <c:pt idx="159">
                  <c:v>-62.226705484842299</c:v>
                </c:pt>
                <c:pt idx="160">
                  <c:v>-61.855645845894216</c:v>
                </c:pt>
                <c:pt idx="161">
                  <c:v>-61.470101915842285</c:v>
                </c:pt>
                <c:pt idx="162">
                  <c:v>-61.068944604305251</c:v>
                </c:pt>
                <c:pt idx="163">
                  <c:v>-60.650874381166616</c:v>
                </c:pt>
                <c:pt idx="164">
                  <c:v>-60.214382631073263</c:v>
                </c:pt>
                <c:pt idx="165">
                  <c:v>-59.757700876422035</c:v>
                </c:pt>
                <c:pt idx="166">
                  <c:v>-59.278732849253267</c:v>
                </c:pt>
                <c:pt idx="167">
                  <c:v>-58.77496173228954</c:v>
                </c:pt>
                <c:pt idx="168">
                  <c:v>-58.24332045479381</c:v>
                </c:pt>
                <c:pt idx="169">
                  <c:v>-57.68000524504901</c:v>
                </c:pt>
                <c:pt idx="170">
                  <c:v>-57.080198711569572</c:v>
                </c:pt>
                <c:pt idx="171">
                  <c:v>-56.437642080954326</c:v>
                </c:pt>
                <c:pt idx="172">
                  <c:v>-55.743941842674182</c:v>
                </c:pt>
                <c:pt idx="173">
                  <c:v>-54.987375810393473</c:v>
                </c:pt>
                <c:pt idx="174">
                  <c:v>-54.15066913785742</c:v>
                </c:pt>
                <c:pt idx="175">
                  <c:v>-53.206384848860189</c:v>
                </c:pt>
                <c:pt idx="176">
                  <c:v>-52.105766326413978</c:v>
                </c:pt>
                <c:pt idx="177">
                  <c:v>-50.743956515652172</c:v>
                </c:pt>
                <c:pt idx="178">
                  <c:v>-48.774262375029899</c:v>
                </c:pt>
                <c:pt idx="179">
                  <c:v>-46.595388454093026</c:v>
                </c:pt>
                <c:pt idx="180">
                  <c:v>-46.595388454093026</c:v>
                </c:pt>
                <c:pt idx="181">
                  <c:v>-46.595388454093026</c:v>
                </c:pt>
                <c:pt idx="182">
                  <c:v>-46.595388454093026</c:v>
                </c:pt>
                <c:pt idx="183">
                  <c:v>-46.595388454093026</c:v>
                </c:pt>
                <c:pt idx="184">
                  <c:v>-46.595388454093026</c:v>
                </c:pt>
                <c:pt idx="185">
                  <c:v>-46.595388454093026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899-5649-96E2-64AEA5682F16}"/>
            </c:ext>
          </c:extLst>
        </c:ser>
        <c:ser>
          <c:idx val="2"/>
          <c:order val="2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-85.794066495315903</c:v>
                </c:pt>
                <c:pt idx="21">
                  <c:v>-82.634524682955586</c:v>
                </c:pt>
                <c:pt idx="22">
                  <c:v>-81.13199020133618</c:v>
                </c:pt>
                <c:pt idx="23">
                  <c:v>-79.991507985371413</c:v>
                </c:pt>
                <c:pt idx="24">
                  <c:v>-79.04274296713939</c:v>
                </c:pt>
                <c:pt idx="25">
                  <c:v>-78.218631952022307</c:v>
                </c:pt>
                <c:pt idx="26">
                  <c:v>-77.484431797914127</c:v>
                </c:pt>
                <c:pt idx="27">
                  <c:v>-76.819339776561065</c:v>
                </c:pt>
                <c:pt idx="28">
                  <c:v>-76.209709124607869</c:v>
                </c:pt>
                <c:pt idx="29">
                  <c:v>-75.646002163321441</c:v>
                </c:pt>
                <c:pt idx="30">
                  <c:v>-75.121234685296457</c:v>
                </c:pt>
                <c:pt idx="31">
                  <c:v>-74.630105622962134</c:v>
                </c:pt>
                <c:pt idx="32">
                  <c:v>-74.168475358030918</c:v>
                </c:pt>
                <c:pt idx="33">
                  <c:v>-73.733035661848248</c:v>
                </c:pt>
                <c:pt idx="34">
                  <c:v>-73.321091587218049</c:v>
                </c:pt>
                <c:pt idx="35">
                  <c:v>-72.93041207626537</c:v>
                </c:pt>
                <c:pt idx="36">
                  <c:v>-72.559124508845869</c:v>
                </c:pt>
                <c:pt idx="37">
                  <c:v>-72.205638335136669</c:v>
                </c:pt>
                <c:pt idx="38">
                  <c:v>-71.868588535278008</c:v>
                </c:pt>
                <c:pt idx="39">
                  <c:v>-71.546792944735287</c:v>
                </c:pt>
                <c:pt idx="40">
                  <c:v>-71.239219495156092</c:v>
                </c:pt>
                <c:pt idx="41">
                  <c:v>-70.944960686740586</c:v>
                </c:pt>
                <c:pt idx="42">
                  <c:v>-70.663213427664743</c:v>
                </c:pt>
                <c:pt idx="43">
                  <c:v>-70.393262919589759</c:v>
                </c:pt>
                <c:pt idx="44">
                  <c:v>-70.134469636665244</c:v>
                </c:pt>
                <c:pt idx="45">
                  <c:v>-69.886258700039093</c:v>
                </c:pt>
                <c:pt idx="46">
                  <c:v>-69.64811112900145</c:v>
                </c:pt>
                <c:pt idx="47">
                  <c:v>-69.419556577926471</c:v>
                </c:pt>
                <c:pt idx="48">
                  <c:v>-69.200167261059136</c:v>
                </c:pt>
                <c:pt idx="49">
                  <c:v>-68.989552835472296</c:v>
                </c:pt>
                <c:pt idx="50">
                  <c:v>-68.787356063344419</c:v>
                </c:pt>
                <c:pt idx="51">
                  <c:v>-68.593249112965267</c:v>
                </c:pt>
                <c:pt idx="52">
                  <c:v>-68.406930386983362</c:v>
                </c:pt>
                <c:pt idx="53">
                  <c:v>-68.228121788769286</c:v>
                </c:pt>
                <c:pt idx="54">
                  <c:v>-68.056566355102447</c:v>
                </c:pt>
                <c:pt idx="55">
                  <c:v>-67.892026196943178</c:v>
                </c:pt>
                <c:pt idx="56">
                  <c:v>-67.734280700732242</c:v>
                </c:pt>
                <c:pt idx="57">
                  <c:v>-67.583124951141045</c:v>
                </c:pt>
                <c:pt idx="58">
                  <c:v>-67.438368342976858</c:v>
                </c:pt>
                <c:pt idx="59">
                  <c:v>-67.299833355404061</c:v>
                </c:pt>
                <c:pt idx="60">
                  <c:v>-67.167354466063358</c:v>
                </c:pt>
                <c:pt idx="61">
                  <c:v>-67.040777186270674</c:v>
                </c:pt>
                <c:pt idx="62">
                  <c:v>-66.919957201428261</c:v>
                </c:pt>
                <c:pt idx="63">
                  <c:v>-66.804759603208666</c:v>
                </c:pt>
                <c:pt idx="64">
                  <c:v>-66.695058202083743</c:v>
                </c:pt>
                <c:pt idx="65">
                  <c:v>-66.590734910442606</c:v>
                </c:pt>
                <c:pt idx="66">
                  <c:v>-66.491679187940505</c:v>
                </c:pt>
                <c:pt idx="67">
                  <c:v>-66.397787541891788</c:v>
                </c:pt>
                <c:pt idx="68">
                  <c:v>-66.308963076509542</c:v>
                </c:pt>
                <c:pt idx="69">
                  <c:v>-66.225115085630108</c:v>
                </c:pt>
                <c:pt idx="70">
                  <c:v>-66.146158684270191</c:v>
                </c:pt>
                <c:pt idx="71">
                  <c:v>-66.072014474971866</c:v>
                </c:pt>
                <c:pt idx="72">
                  <c:v>-66.002608245407373</c:v>
                </c:pt>
                <c:pt idx="73">
                  <c:v>-65.937870694161347</c:v>
                </c:pt>
                <c:pt idx="74">
                  <c:v>-65.877737181993524</c:v>
                </c:pt>
                <c:pt idx="75">
                  <c:v>-65.822147506215032</c:v>
                </c:pt>
                <c:pt idx="76">
                  <c:v>-65.771045696101865</c:v>
                </c:pt>
                <c:pt idx="77">
                  <c:v>-65.724379827519385</c:v>
                </c:pt>
                <c:pt idx="78">
                  <c:v>-65.682101855152354</c:v>
                </c:pt>
                <c:pt idx="79">
                  <c:v>-65.644167460928358</c:v>
                </c:pt>
                <c:pt idx="80">
                  <c:v>-65.61053591739217</c:v>
                </c:pt>
                <c:pt idx="81">
                  <c:v>-65.581169964941068</c:v>
                </c:pt>
                <c:pt idx="82">
                  <c:v>-65.556035701963523</c:v>
                </c:pt>
                <c:pt idx="83">
                  <c:v>-65.53510248704616</c:v>
                </c:pt>
                <c:pt idx="84">
                  <c:v>-65.518342852519908</c:v>
                </c:pt>
                <c:pt idx="85">
                  <c:v>-65.505732428715561</c:v>
                </c:pt>
                <c:pt idx="86">
                  <c:v>-65.497249878387919</c:v>
                </c:pt>
                <c:pt idx="87">
                  <c:v>-65.492876840848652</c:v>
                </c:pt>
                <c:pt idx="88">
                  <c:v>-65.492597885425297</c:v>
                </c:pt>
                <c:pt idx="89">
                  <c:v>-65.496400473933278</c:v>
                </c:pt>
                <c:pt idx="90">
                  <c:v>-65.504274931915447</c:v>
                </c:pt>
                <c:pt idx="91">
                  <c:v>-65.516214428467336</c:v>
                </c:pt>
                <c:pt idx="92">
                  <c:v>-65.532214964527483</c:v>
                </c:pt>
                <c:pt idx="93">
                  <c:v>-65.552275369572314</c:v>
                </c:pt>
                <c:pt idx="94">
                  <c:v>-65.57639730671535</c:v>
                </c:pt>
                <c:pt idx="95">
                  <c:v>-65.604585286268218</c:v>
                </c:pt>
                <c:pt idx="96">
                  <c:v>-65.636846687883633</c:v>
                </c:pt>
                <c:pt idx="97">
                  <c:v>-65.673191791460596</c:v>
                </c:pt>
                <c:pt idx="98">
                  <c:v>-65.71363381705757</c:v>
                </c:pt>
                <c:pt idx="99">
                  <c:v>-65.758188974127634</c:v>
                </c:pt>
                <c:pt idx="100">
                  <c:v>-65.806876520460392</c:v>
                </c:pt>
                <c:pt idx="101">
                  <c:v>-65.859718831294614</c:v>
                </c:pt>
                <c:pt idx="102">
                  <c:v>-65.916741479148257</c:v>
                </c:pt>
                <c:pt idx="103">
                  <c:v>-65.977973325005152</c:v>
                </c:pt>
                <c:pt idx="104">
                  <c:v>-66.04344662159798</c:v>
                </c:pt>
                <c:pt idx="105">
                  <c:v>-66.113197129639815</c:v>
                </c:pt>
                <c:pt idx="106">
                  <c:v>-66.18726424798065</c:v>
                </c:pt>
                <c:pt idx="107">
                  <c:v>-66.265691158805694</c:v>
                </c:pt>
                <c:pt idx="108">
                  <c:v>-66.348524989150192</c:v>
                </c:pt>
                <c:pt idx="109">
                  <c:v>-66.435816990183355</c:v>
                </c:pt>
                <c:pt idx="110">
                  <c:v>-66.527622735918143</c:v>
                </c:pt>
                <c:pt idx="111">
                  <c:v>-66.624002343234395</c:v>
                </c:pt>
                <c:pt idx="112">
                  <c:v>-66.725020715370448</c:v>
                </c:pt>
                <c:pt idx="113">
                  <c:v>-66.830747811342661</c:v>
                </c:pt>
                <c:pt idx="114">
                  <c:v>-66.941258944107446</c:v>
                </c:pt>
                <c:pt idx="115">
                  <c:v>-67.05663511068984</c:v>
                </c:pt>
                <c:pt idx="116">
                  <c:v>-67.176963357980114</c:v>
                </c:pt>
                <c:pt idx="117">
                  <c:v>-67.302337188457813</c:v>
                </c:pt>
                <c:pt idx="118">
                  <c:v>-67.432857010756408</c:v>
                </c:pt>
                <c:pt idx="119">
                  <c:v>-67.568630640751451</c:v>
                </c:pt>
                <c:pt idx="120">
                  <c:v>-67.709773859765974</c:v>
                </c:pt>
                <c:pt idx="121">
                  <c:v>-67.856411037565351</c:v>
                </c:pt>
                <c:pt idx="122">
                  <c:v>-68.008675829102131</c:v>
                </c:pt>
                <c:pt idx="123">
                  <c:v>-68.166711955511204</c:v>
                </c:pt>
                <c:pt idx="124">
                  <c:v>-68.330674081708196</c:v>
                </c:pt>
                <c:pt idx="125">
                  <c:v>-68.50072880518367</c:v>
                </c:pt>
                <c:pt idx="126">
                  <c:v>-68.677055773302868</c:v>
                </c:pt>
                <c:pt idx="127">
                  <c:v>-68.859848949742172</c:v>
                </c:pt>
                <c:pt idx="128">
                  <c:v>-69.049318054766587</c:v>
                </c:pt>
                <c:pt idx="129">
                  <c:v>-69.2456902090873</c:v>
                </c:pt>
                <c:pt idx="130">
                  <c:v>-69.449211817292024</c:v>
                </c:pt>
                <c:pt idx="131">
                  <c:v>-69.660150734664441</c:v>
                </c:pt>
                <c:pt idx="132">
                  <c:v>-69.878798771063842</c:v>
                </c:pt>
                <c:pt idx="133">
                  <c:v>-70.105474598044097</c:v>
                </c:pt>
                <c:pt idx="134">
                  <c:v>-70.340527141389614</c:v>
                </c:pt>
                <c:pt idx="135">
                  <c:v>-70.584339561886139</c:v>
                </c:pt>
                <c:pt idx="136">
                  <c:v>-70.837333954015236</c:v>
                </c:pt>
                <c:pt idx="137">
                  <c:v>-71.099976927587676</c:v>
                </c:pt>
                <c:pt idx="138">
                  <c:v>-71.372786284260414</c:v>
                </c:pt>
                <c:pt idx="139">
                  <c:v>-71.656339063942937</c:v>
                </c:pt>
                <c:pt idx="140">
                  <c:v>-71.951281321884053</c:v>
                </c:pt>
                <c:pt idx="141">
                  <c:v>-72.258340115492402</c:v>
                </c:pt>
                <c:pt idx="142">
                  <c:v>-72.578338345395593</c:v>
                </c:pt>
                <c:pt idx="143">
                  <c:v>-72.912213330428614</c:v>
                </c:pt>
                <c:pt idx="144">
                  <c:v>-73.261040336521901</c:v>
                </c:pt>
                <c:pt idx="145">
                  <c:v>-73.626062781485771</c:v>
                </c:pt>
                <c:pt idx="146">
                  <c:v>-74.008731594632664</c:v>
                </c:pt>
                <c:pt idx="147">
                  <c:v>-74.410757379610942</c:v>
                </c:pt>
                <c:pt idx="148">
                  <c:v>-74.834180885874346</c:v>
                </c:pt>
                <c:pt idx="149">
                  <c:v>-75.281470336891502</c:v>
                </c:pt>
                <c:pt idx="150">
                  <c:v>-75.755659330899789</c:v>
                </c:pt>
                <c:pt idx="151">
                  <c:v>-76.260548181139214</c:v>
                </c:pt>
                <c:pt idx="152">
                  <c:v>-76.801008584583883</c:v>
                </c:pt>
                <c:pt idx="153">
                  <c:v>-77.383465091188981</c:v>
                </c:pt>
                <c:pt idx="154">
                  <c:v>-78.016698042781272</c:v>
                </c:pt>
                <c:pt idx="155">
                  <c:v>-78.713277836966839</c:v>
                </c:pt>
                <c:pt idx="156">
                  <c:v>-79.492371256554122</c:v>
                </c:pt>
                <c:pt idx="157">
                  <c:v>-80.385979659361382</c:v>
                </c:pt>
                <c:pt idx="158">
                  <c:v>-81.455787307437475</c:v>
                </c:pt>
                <c:pt idx="159">
                  <c:v>-82.857766473786597</c:v>
                </c:pt>
                <c:pt idx="160">
                  <c:v>-85.698845660908376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7899-5649-96E2-64AEA5682F16}"/>
            </c:ext>
          </c:extLst>
        </c:ser>
        <c:ser>
          <c:idx val="3"/>
          <c:order val="3"/>
          <c:spPr>
            <a:ln w="25400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-87.021677540772032</c:v>
                </c:pt>
                <c:pt idx="21">
                  <c:v>-90.181219353132349</c:v>
                </c:pt>
                <c:pt idx="22">
                  <c:v>-91.683753834751741</c:v>
                </c:pt>
                <c:pt idx="23">
                  <c:v>-92.824236050716507</c:v>
                </c:pt>
                <c:pt idx="24">
                  <c:v>-93.773001068948531</c:v>
                </c:pt>
                <c:pt idx="25">
                  <c:v>-94.597112084065628</c:v>
                </c:pt>
                <c:pt idx="26">
                  <c:v>-95.331312238173794</c:v>
                </c:pt>
                <c:pt idx="27">
                  <c:v>-95.996404259526869</c:v>
                </c:pt>
                <c:pt idx="28">
                  <c:v>-96.606034911480052</c:v>
                </c:pt>
                <c:pt idx="29">
                  <c:v>-97.16974187276648</c:v>
                </c:pt>
                <c:pt idx="30">
                  <c:v>-97.694509350791463</c:v>
                </c:pt>
                <c:pt idx="31">
                  <c:v>-98.185638413125787</c:v>
                </c:pt>
                <c:pt idx="32">
                  <c:v>-98.647268678057017</c:v>
                </c:pt>
                <c:pt idx="33">
                  <c:v>-99.082708374239672</c:v>
                </c:pt>
                <c:pt idx="34">
                  <c:v>-99.494652448869886</c:v>
                </c:pt>
                <c:pt idx="35">
                  <c:v>-99.885331959822551</c:v>
                </c:pt>
                <c:pt idx="36">
                  <c:v>-100.25661952724205</c:v>
                </c:pt>
                <c:pt idx="37">
                  <c:v>-100.61010570095127</c:v>
                </c:pt>
                <c:pt idx="38">
                  <c:v>-100.94715550080991</c:v>
                </c:pt>
                <c:pt idx="39">
                  <c:v>-101.26895109135263</c:v>
                </c:pt>
                <c:pt idx="40">
                  <c:v>-101.57652454093183</c:v>
                </c:pt>
                <c:pt idx="41">
                  <c:v>-101.87078334934735</c:v>
                </c:pt>
                <c:pt idx="42">
                  <c:v>-102.15253060842319</c:v>
                </c:pt>
                <c:pt idx="43">
                  <c:v>-102.42248111649816</c:v>
                </c:pt>
                <c:pt idx="44">
                  <c:v>-102.68127439942268</c:v>
                </c:pt>
                <c:pt idx="45">
                  <c:v>-102.92948533604883</c:v>
                </c:pt>
                <c:pt idx="46">
                  <c:v>-103.16763290708649</c:v>
                </c:pt>
                <c:pt idx="47">
                  <c:v>-103.39618745816145</c:v>
                </c:pt>
                <c:pt idx="48">
                  <c:v>-103.61557677502879</c:v>
                </c:pt>
                <c:pt idx="49">
                  <c:v>-103.82619120061563</c:v>
                </c:pt>
                <c:pt idx="50">
                  <c:v>-104.0283879727435</c:v>
                </c:pt>
                <c:pt idx="51">
                  <c:v>-104.22249492312265</c:v>
                </c:pt>
                <c:pt idx="52">
                  <c:v>-104.40881364910456</c:v>
                </c:pt>
                <c:pt idx="53">
                  <c:v>-104.58762224731863</c:v>
                </c:pt>
                <c:pt idx="54">
                  <c:v>-104.75917768098547</c:v>
                </c:pt>
                <c:pt idx="55">
                  <c:v>-104.92371783914476</c:v>
                </c:pt>
                <c:pt idx="56">
                  <c:v>-105.08146333535569</c:v>
                </c:pt>
                <c:pt idx="57">
                  <c:v>-105.23261908494689</c:v>
                </c:pt>
                <c:pt idx="58">
                  <c:v>-105.37737569311106</c:v>
                </c:pt>
                <c:pt idx="59">
                  <c:v>-105.51591068068386</c:v>
                </c:pt>
                <c:pt idx="60">
                  <c:v>-105.64838957002456</c:v>
                </c:pt>
                <c:pt idx="61">
                  <c:v>-105.77496684981726</c:v>
                </c:pt>
                <c:pt idx="62">
                  <c:v>-105.89578683465966</c:v>
                </c:pt>
                <c:pt idx="63">
                  <c:v>-106.01098443287927</c:v>
                </c:pt>
                <c:pt idx="64">
                  <c:v>-106.12068583400418</c:v>
                </c:pt>
                <c:pt idx="65">
                  <c:v>-106.22500912564533</c:v>
                </c:pt>
                <c:pt idx="66">
                  <c:v>-106.32406484814743</c:v>
                </c:pt>
                <c:pt idx="67">
                  <c:v>-106.41795649419615</c:v>
                </c:pt>
                <c:pt idx="68">
                  <c:v>-106.50678095957838</c:v>
                </c:pt>
                <c:pt idx="69">
                  <c:v>-106.59062895045781</c:v>
                </c:pt>
                <c:pt idx="70">
                  <c:v>-106.66958535181773</c:v>
                </c:pt>
                <c:pt idx="71">
                  <c:v>-106.74372956111606</c:v>
                </c:pt>
                <c:pt idx="72">
                  <c:v>-106.81313579068055</c:v>
                </c:pt>
                <c:pt idx="73">
                  <c:v>-106.87787334192657</c:v>
                </c:pt>
                <c:pt idx="74">
                  <c:v>-106.93800685409441</c:v>
                </c:pt>
                <c:pt idx="75">
                  <c:v>-106.9935965298729</c:v>
                </c:pt>
                <c:pt idx="76">
                  <c:v>-107.04469833998607</c:v>
                </c:pt>
                <c:pt idx="77">
                  <c:v>-107.09136420856854</c:v>
                </c:pt>
                <c:pt idx="78">
                  <c:v>-107.13364218093558</c:v>
                </c:pt>
                <c:pt idx="79">
                  <c:v>-107.17157657515958</c:v>
                </c:pt>
                <c:pt idx="80">
                  <c:v>-107.20520811869577</c:v>
                </c:pt>
                <c:pt idx="81">
                  <c:v>-107.23457407114687</c:v>
                </c:pt>
                <c:pt idx="82">
                  <c:v>-107.2597083341244</c:v>
                </c:pt>
                <c:pt idx="83">
                  <c:v>-107.28064154904177</c:v>
                </c:pt>
                <c:pt idx="84">
                  <c:v>-107.29740118356803</c:v>
                </c:pt>
                <c:pt idx="85">
                  <c:v>-107.31001160737237</c:v>
                </c:pt>
                <c:pt idx="86">
                  <c:v>-107.3184941577</c:v>
                </c:pt>
                <c:pt idx="87">
                  <c:v>-107.32286719523927</c:v>
                </c:pt>
                <c:pt idx="88">
                  <c:v>-107.32314615066262</c:v>
                </c:pt>
                <c:pt idx="89">
                  <c:v>-107.31934356215464</c:v>
                </c:pt>
                <c:pt idx="90">
                  <c:v>-107.31146910417247</c:v>
                </c:pt>
                <c:pt idx="91">
                  <c:v>-107.29952960762058</c:v>
                </c:pt>
                <c:pt idx="92">
                  <c:v>-107.28352907156045</c:v>
                </c:pt>
                <c:pt idx="93">
                  <c:v>-107.26346866651561</c:v>
                </c:pt>
                <c:pt idx="94">
                  <c:v>-107.23934672937258</c:v>
                </c:pt>
                <c:pt idx="95">
                  <c:v>-107.2111587498197</c:v>
                </c:pt>
                <c:pt idx="96">
                  <c:v>-107.17889734820429</c:v>
                </c:pt>
                <c:pt idx="97">
                  <c:v>-107.14255224462732</c:v>
                </c:pt>
                <c:pt idx="98">
                  <c:v>-107.10211021903037</c:v>
                </c:pt>
                <c:pt idx="99">
                  <c:v>-107.05755506196029</c:v>
                </c:pt>
                <c:pt idx="100">
                  <c:v>-107.00886751562754</c:v>
                </c:pt>
                <c:pt idx="101">
                  <c:v>-106.95602520479332</c:v>
                </c:pt>
                <c:pt idx="102">
                  <c:v>-106.89900255693966</c:v>
                </c:pt>
                <c:pt idx="103">
                  <c:v>-106.83777071108277</c:v>
                </c:pt>
                <c:pt idx="104">
                  <c:v>-106.77229741448994</c:v>
                </c:pt>
                <c:pt idx="105">
                  <c:v>-106.70254690644811</c:v>
                </c:pt>
                <c:pt idx="106">
                  <c:v>-106.62847978810727</c:v>
                </c:pt>
                <c:pt idx="107">
                  <c:v>-106.55005287728224</c:v>
                </c:pt>
                <c:pt idx="108">
                  <c:v>-106.46721904693774</c:v>
                </c:pt>
                <c:pt idx="109">
                  <c:v>-106.37992704590457</c:v>
                </c:pt>
                <c:pt idx="110">
                  <c:v>-106.28812130016979</c:v>
                </c:pt>
                <c:pt idx="111">
                  <c:v>-106.19174169285353</c:v>
                </c:pt>
                <c:pt idx="112">
                  <c:v>-106.09072332071747</c:v>
                </c:pt>
                <c:pt idx="113">
                  <c:v>-105.98499622474526</c:v>
                </c:pt>
                <c:pt idx="114">
                  <c:v>-105.87448509198047</c:v>
                </c:pt>
                <c:pt idx="115">
                  <c:v>-105.75910892539808</c:v>
                </c:pt>
                <c:pt idx="116">
                  <c:v>-105.63878067810781</c:v>
                </c:pt>
                <c:pt idx="117">
                  <c:v>-105.51340684763011</c:v>
                </c:pt>
                <c:pt idx="118">
                  <c:v>-105.38288702533151</c:v>
                </c:pt>
                <c:pt idx="119">
                  <c:v>-105.24711339533647</c:v>
                </c:pt>
                <c:pt idx="120">
                  <c:v>-105.10597017632196</c:v>
                </c:pt>
                <c:pt idx="121">
                  <c:v>-104.95933299852257</c:v>
                </c:pt>
                <c:pt idx="122">
                  <c:v>-104.80706820698579</c:v>
                </c:pt>
                <c:pt idx="123">
                  <c:v>-104.64903208057673</c:v>
                </c:pt>
                <c:pt idx="124">
                  <c:v>-104.48506995437972</c:v>
                </c:pt>
                <c:pt idx="125">
                  <c:v>-104.31501523090425</c:v>
                </c:pt>
                <c:pt idx="126">
                  <c:v>-104.13868826278507</c:v>
                </c:pt>
                <c:pt idx="127">
                  <c:v>-103.95589508634575</c:v>
                </c:pt>
                <c:pt idx="128">
                  <c:v>-103.76642598132133</c:v>
                </c:pt>
                <c:pt idx="129">
                  <c:v>-103.57005382700063</c:v>
                </c:pt>
                <c:pt idx="130">
                  <c:v>-103.3665322187959</c:v>
                </c:pt>
                <c:pt idx="131">
                  <c:v>-103.15559330142348</c:v>
                </c:pt>
                <c:pt idx="132">
                  <c:v>-102.93694526502408</c:v>
                </c:pt>
                <c:pt idx="133">
                  <c:v>-102.71026943804384</c:v>
                </c:pt>
                <c:pt idx="134">
                  <c:v>-102.47521689469832</c:v>
                </c:pt>
                <c:pt idx="135">
                  <c:v>-102.2314044742018</c:v>
                </c:pt>
                <c:pt idx="136">
                  <c:v>-101.97841008207268</c:v>
                </c:pt>
                <c:pt idx="137">
                  <c:v>-101.71576710850024</c:v>
                </c:pt>
                <c:pt idx="138">
                  <c:v>-101.44295775182752</c:v>
                </c:pt>
                <c:pt idx="139">
                  <c:v>-101.15940497214498</c:v>
                </c:pt>
                <c:pt idx="140">
                  <c:v>-100.86446271420387</c:v>
                </c:pt>
                <c:pt idx="141">
                  <c:v>-100.55740392059552</c:v>
                </c:pt>
                <c:pt idx="142">
                  <c:v>-100.23740569069233</c:v>
                </c:pt>
                <c:pt idx="143">
                  <c:v>-99.903530705659307</c:v>
                </c:pt>
                <c:pt idx="144">
                  <c:v>-99.554703699566033</c:v>
                </c:pt>
                <c:pt idx="145">
                  <c:v>-99.189681254602149</c:v>
                </c:pt>
                <c:pt idx="146">
                  <c:v>-98.807012441455271</c:v>
                </c:pt>
                <c:pt idx="147">
                  <c:v>-98.404986656476993</c:v>
                </c:pt>
                <c:pt idx="148">
                  <c:v>-97.981563150213589</c:v>
                </c:pt>
                <c:pt idx="149">
                  <c:v>-97.534273699196433</c:v>
                </c:pt>
                <c:pt idx="150">
                  <c:v>-97.060084705188132</c:v>
                </c:pt>
                <c:pt idx="151">
                  <c:v>-96.555195854948721</c:v>
                </c:pt>
                <c:pt idx="152">
                  <c:v>-96.014735451504038</c:v>
                </c:pt>
                <c:pt idx="153">
                  <c:v>-95.432278944898954</c:v>
                </c:pt>
                <c:pt idx="154">
                  <c:v>-94.799045993306649</c:v>
                </c:pt>
                <c:pt idx="155">
                  <c:v>-94.102466199121082</c:v>
                </c:pt>
                <c:pt idx="156">
                  <c:v>-93.323372779533813</c:v>
                </c:pt>
                <c:pt idx="157">
                  <c:v>-92.429764376726553</c:v>
                </c:pt>
                <c:pt idx="158">
                  <c:v>-91.359956728650459</c:v>
                </c:pt>
                <c:pt idx="159">
                  <c:v>-89.957977562301323</c:v>
                </c:pt>
                <c:pt idx="160">
                  <c:v>-87.116898375179559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899-5649-96E2-64AEA5682F16}"/>
            </c:ext>
          </c:extLst>
        </c:ser>
        <c:ser>
          <c:idx val="4"/>
          <c:order val="4"/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10"/>
              <c:spPr>
                <a:noFill/>
                <a:ln w="19050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444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4-7899-5649-96E2-64AEA5682F16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2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899-5649-96E2-64AEA5682F1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-69.726008452265447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  <c:pt idx="186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899-5649-96E2-64AEA5682F16}"/>
            </c:ext>
          </c:extLst>
        </c:ser>
        <c:ser>
          <c:idx val="5"/>
          <c:order val="5"/>
          <c:spPr>
            <a:ln w="19050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6-7899-5649-96E2-64AEA5682F16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spPr>
              <a:ln w="19050" cap="rnd">
                <a:noFill/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8-7899-5649-96E2-64AEA5682F16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-45.868021028808322</c:v>
                </c:pt>
                <c:pt idx="188" formatCode="0.00_ ;[Red]\-0.00\ ">
                  <c:v>-86.40787201804396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  <c:pt idx="186">
                  <c:v>23.41377793669697</c:v>
                </c:pt>
                <c:pt idx="187" formatCode="0.00_ ;[Red]\-0.00\ ">
                  <c:v>10.359753117975313</c:v>
                </c:pt>
                <c:pt idx="188" formatCode="0.00_ ;[Red]\-0.00\ ">
                  <c:v>10.399461012175736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7899-5649-96E2-64AEA5682F1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45"/>
        <c:minorUnit val="15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15875" cap="flat" cmpd="sng" algn="ctr">
      <a:solidFill>
        <a:schemeClr val="bg2">
          <a:lumMod val="50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-68.856392967760911</c:v>
                </c:pt>
                <c:pt idx="1">
                  <c:v>-68.886224353346776</c:v>
                </c:pt>
                <c:pt idx="2">
                  <c:v>-68.915884046823763</c:v>
                </c:pt>
                <c:pt idx="3">
                  <c:v>-68.945372886463289</c:v>
                </c:pt>
                <c:pt idx="4">
                  <c:v>-68.974691701816596</c:v>
                </c:pt>
                <c:pt idx="5">
                  <c:v>-69.003841313833348</c:v>
                </c:pt>
                <c:pt idx="6">
                  <c:v>-69.032822534978038</c:v>
                </c:pt>
                <c:pt idx="7">
                  <c:v>-69.061636169344297</c:v>
                </c:pt>
                <c:pt idx="8">
                  <c:v>-69.09028301276706</c:v>
                </c:pt>
                <c:pt idx="9">
                  <c:v>-69.118763852932858</c:v>
                </c:pt>
                <c:pt idx="10">
                  <c:v>-69.147079469488091</c:v>
                </c:pt>
                <c:pt idx="11">
                  <c:v>-69.175230634145294</c:v>
                </c:pt>
                <c:pt idx="12">
                  <c:v>-69.203218110787603</c:v>
                </c:pt>
                <c:pt idx="13">
                  <c:v>-69.231042655571372</c:v>
                </c:pt>
                <c:pt idx="14">
                  <c:v>-69.258705017026941</c:v>
                </c:pt>
                <c:pt idx="15">
                  <c:v>-69.2862059361577</c:v>
                </c:pt>
                <c:pt idx="16">
                  <c:v>-69.313546146537334</c:v>
                </c:pt>
                <c:pt idx="17">
                  <c:v>-69.34072637440552</c:v>
                </c:pt>
                <c:pt idx="18">
                  <c:v>-69.367747338761745</c:v>
                </c:pt>
                <c:pt idx="19">
                  <c:v>-69.394609751457736</c:v>
                </c:pt>
                <c:pt idx="20">
                  <c:v>-69.42131431728815</c:v>
                </c:pt>
                <c:pt idx="21">
                  <c:v>-69.447861734079908</c:v>
                </c:pt>
                <c:pt idx="22">
                  <c:v>-69.474252692779558</c:v>
                </c:pt>
                <c:pt idx="23">
                  <c:v>-69.50048787753974</c:v>
                </c:pt>
                <c:pt idx="24">
                  <c:v>-69.526567965803764</c:v>
                </c:pt>
                <c:pt idx="25">
                  <c:v>-69.552493628388888</c:v>
                </c:pt>
                <c:pt idx="26">
                  <c:v>-69.57826552956827</c:v>
                </c:pt>
                <c:pt idx="27">
                  <c:v>-69.603884327151462</c:v>
                </c:pt>
                <c:pt idx="28">
                  <c:v>-69.62935067256349</c:v>
                </c:pt>
                <c:pt idx="29">
                  <c:v>-69.654665210922872</c:v>
                </c:pt>
                <c:pt idx="30">
                  <c:v>-69.679828581117945</c:v>
                </c:pt>
                <c:pt idx="31">
                  <c:v>-69.704841415882385</c:v>
                </c:pt>
                <c:pt idx="32">
                  <c:v>-69.72970434186918</c:v>
                </c:pt>
                <c:pt idx="33">
                  <c:v>-69.754417979723385</c:v>
                </c:pt>
                <c:pt idx="34">
                  <c:v>-69.778982944153924</c:v>
                </c:pt>
                <c:pt idx="35">
                  <c:v>-69.803399844003934</c:v>
                </c:pt>
                <c:pt idx="36">
                  <c:v>-69.82766928232023</c:v>
                </c:pt>
                <c:pt idx="37">
                  <c:v>-69.851791856421357</c:v>
                </c:pt>
                <c:pt idx="38">
                  <c:v>-69.875768157964927</c:v>
                </c:pt>
                <c:pt idx="39">
                  <c:v>-69.899598773013508</c:v>
                </c:pt>
                <c:pt idx="40">
                  <c:v>-69.923284282099516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807F-7144-BF96-854D69D3C829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-70.526064616129048</c:v>
                </c:pt>
                <c:pt idx="1">
                  <c:v>-70.480255199599995</c:v>
                </c:pt>
                <c:pt idx="2">
                  <c:v>-70.434775229550198</c:v>
                </c:pt>
                <c:pt idx="3">
                  <c:v>-70.389621637912754</c:v>
                </c:pt>
                <c:pt idx="4">
                  <c:v>-70.344791412080127</c:v>
                </c:pt>
                <c:pt idx="5">
                  <c:v>-70.30028159351663</c:v>
                </c:pt>
                <c:pt idx="6">
                  <c:v>-70.25608927641531</c:v>
                </c:pt>
                <c:pt idx="7">
                  <c:v>-70.21221160639891</c:v>
                </c:pt>
                <c:pt idx="8">
                  <c:v>-70.168645779261155</c:v>
                </c:pt>
                <c:pt idx="9">
                  <c:v>-70.125389039749152</c:v>
                </c:pt>
                <c:pt idx="10">
                  <c:v>-70.082438680383049</c:v>
                </c:pt>
                <c:pt idx="11">
                  <c:v>-70.039792040313472</c:v>
                </c:pt>
                <c:pt idx="12">
                  <c:v>-69.997446504213741</c:v>
                </c:pt>
                <c:pt idx="13">
                  <c:v>-69.955399501206699</c:v>
                </c:pt>
                <c:pt idx="14">
                  <c:v>-69.913648503824163</c:v>
                </c:pt>
                <c:pt idx="15">
                  <c:v>-69.872191026998038</c:v>
                </c:pt>
                <c:pt idx="16">
                  <c:v>-69.831024627081902</c:v>
                </c:pt>
                <c:pt idx="17">
                  <c:v>-69.790146900902045</c:v>
                </c:pt>
                <c:pt idx="18">
                  <c:v>-69.749555484836506</c:v>
                </c:pt>
                <c:pt idx="19">
                  <c:v>-69.709248053921542</c:v>
                </c:pt>
                <c:pt idx="20">
                  <c:v>-69.66922232098463</c:v>
                </c:pt>
                <c:pt idx="21">
                  <c:v>-69.629476035802028</c:v>
                </c:pt>
                <c:pt idx="22">
                  <c:v>-69.590006984281516</c:v>
                </c:pt>
                <c:pt idx="23">
                  <c:v>-69.550812987668436</c:v>
                </c:pt>
                <c:pt idx="24">
                  <c:v>-69.511891901774234</c:v>
                </c:pt>
                <c:pt idx="25">
                  <c:v>-69.473241616227298</c:v>
                </c:pt>
                <c:pt idx="26">
                  <c:v>-69.434860053744771</c:v>
                </c:pt>
                <c:pt idx="27">
                  <c:v>-69.396745169424904</c:v>
                </c:pt>
                <c:pt idx="28">
                  <c:v>-69.358894950059025</c:v>
                </c:pt>
                <c:pt idx="29">
                  <c:v>-69.321307413462776</c:v>
                </c:pt>
                <c:pt idx="30">
                  <c:v>-69.283980607825754</c:v>
                </c:pt>
                <c:pt idx="31">
                  <c:v>-69.24691261107867</c:v>
                </c:pt>
                <c:pt idx="32">
                  <c:v>-69.210101530278237</c:v>
                </c:pt>
                <c:pt idx="33">
                  <c:v>-69.173545501008348</c:v>
                </c:pt>
                <c:pt idx="34">
                  <c:v>-69.13724268679735</c:v>
                </c:pt>
                <c:pt idx="35">
                  <c:v>-69.101191278551184</c:v>
                </c:pt>
                <c:pt idx="36">
                  <c:v>-69.065389494001252</c:v>
                </c:pt>
                <c:pt idx="37">
                  <c:v>-69.029835577167177</c:v>
                </c:pt>
                <c:pt idx="38">
                  <c:v>-68.994527797833385</c:v>
                </c:pt>
                <c:pt idx="39">
                  <c:v>-68.959464451039494</c:v>
                </c:pt>
                <c:pt idx="40">
                  <c:v>-68.92464385658414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807F-7144-BF96-854D69D3C829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-69.208767935062681</c:v>
                </c:pt>
                <c:pt idx="1">
                  <c:v>-69.238036366863454</c:v>
                </c:pt>
                <c:pt idx="2">
                  <c:v>-69.267137352939429</c:v>
                </c:pt>
                <c:pt idx="3">
                  <c:v>-69.296071690575602</c:v>
                </c:pt>
                <c:pt idx="4">
                  <c:v>-69.324840168931871</c:v>
                </c:pt>
                <c:pt idx="5">
                  <c:v>-69.353443569150826</c:v>
                </c:pt>
                <c:pt idx="6">
                  <c:v>-69.381882664463518</c:v>
                </c:pt>
                <c:pt idx="7">
                  <c:v>-69.410158220293582</c:v>
                </c:pt>
                <c:pt idx="8">
                  <c:v>-69.438270994359158</c:v>
                </c:pt>
                <c:pt idx="9">
                  <c:v>-69.466221736773406</c:v>
                </c:pt>
                <c:pt idx="10">
                  <c:v>-69.494011190143013</c:v>
                </c:pt>
                <c:pt idx="11">
                  <c:v>-69.521640089665155</c:v>
                </c:pt>
                <c:pt idx="12">
                  <c:v>-69.549109163222596</c:v>
                </c:pt>
                <c:pt idx="13">
                  <c:v>-69.576419131477422</c:v>
                </c:pt>
                <c:pt idx="14">
                  <c:v>-69.603570707962689</c:v>
                </c:pt>
                <c:pt idx="15">
                  <c:v>-69.630564599173084</c:v>
                </c:pt>
                <c:pt idx="16">
                  <c:v>-69.657401504653592</c:v>
                </c:pt>
                <c:pt idx="17">
                  <c:v>-69.684082117086803</c:v>
                </c:pt>
                <c:pt idx="18">
                  <c:v>-69.71060712237896</c:v>
                </c:pt>
                <c:pt idx="19">
                  <c:v>-69.736977199744018</c:v>
                </c:pt>
                <c:pt idx="20">
                  <c:v>-69.763193021786762</c:v>
                </c:pt>
                <c:pt idx="21">
                  <c:v>-69.789255254584532</c:v>
                </c:pt>
                <c:pt idx="22">
                  <c:v>-69.815164557767147</c:v>
                </c:pt>
                <c:pt idx="23">
                  <c:v>-69.84092158459606</c:v>
                </c:pt>
                <c:pt idx="24">
                  <c:v>-69.866526982041634</c:v>
                </c:pt>
                <c:pt idx="25">
                  <c:v>-69.891981390859712</c:v>
                </c:pt>
                <c:pt idx="26">
                  <c:v>-69.91728544566638</c:v>
                </c:pt>
                <c:pt idx="27">
                  <c:v>-69.942439775012119</c:v>
                </c:pt>
                <c:pt idx="28">
                  <c:v>-69.967445001453939</c:v>
                </c:pt>
                <c:pt idx="29">
                  <c:v>-69.992301741627173</c:v>
                </c:pt>
                <c:pt idx="30">
                  <c:v>-70.017010606315537</c:v>
                </c:pt>
                <c:pt idx="31">
                  <c:v>-70.041572200520207</c:v>
                </c:pt>
                <c:pt idx="32">
                  <c:v>-70.06598712352806</c:v>
                </c:pt>
                <c:pt idx="33">
                  <c:v>-70.090255968978227</c:v>
                </c:pt>
                <c:pt idx="34">
                  <c:v>-70.114379324928194</c:v>
                </c:pt>
                <c:pt idx="35">
                  <c:v>-70.138357773918543</c:v>
                </c:pt>
                <c:pt idx="36">
                  <c:v>-70.162191893036521</c:v>
                </c:pt>
                <c:pt idx="37">
                  <c:v>-70.185882253978988</c:v>
                </c:pt>
                <c:pt idx="38">
                  <c:v>-70.209429423114116</c:v>
                </c:pt>
                <c:pt idx="39">
                  <c:v>-70.232833961542042</c:v>
                </c:pt>
                <c:pt idx="40">
                  <c:v>-70.25609642515488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807F-7144-BF96-854D69D3C829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4-807F-7144-BF96-854D69D3C829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-69.458617364173094</c:v>
                </c:pt>
                <c:pt idx="42" formatCode="0.00">
                  <c:v>-69.726008452265447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807F-7144-BF96-854D69D3C8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4"/>
        <c:minorUnit val="2"/>
      </c:valAx>
      <c:valAx>
        <c:axId val="1385133584"/>
        <c:scaling>
          <c:orientation val="minMax"/>
        </c:scaling>
        <c:delete val="0"/>
        <c:axPos val="r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max"/>
        <c:crossBetween val="midCat"/>
        <c:majorUnit val="0.5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15875" cap="flat" cmpd="sng" algn="ctr">
      <a:solidFill>
        <a:schemeClr val="bg2">
          <a:lumMod val="50000"/>
        </a:schemeClr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4"/>
          <c:order val="0"/>
          <c:tx>
            <c:strRef>
              <c:f>Standortgrafik!$O$17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Standortgrafik!$O$18:$O$60</c:f>
              <c:numCache>
                <c:formatCode>0.00</c:formatCode>
                <c:ptCount val="43"/>
                <c:pt idx="0">
                  <c:v>-68.856392967760911</c:v>
                </c:pt>
                <c:pt idx="1">
                  <c:v>-68.886224353346776</c:v>
                </c:pt>
                <c:pt idx="2">
                  <c:v>-68.915884046823763</c:v>
                </c:pt>
                <c:pt idx="3">
                  <c:v>-68.945372886463289</c:v>
                </c:pt>
                <c:pt idx="4">
                  <c:v>-68.974691701816596</c:v>
                </c:pt>
                <c:pt idx="5">
                  <c:v>-69.003841313833348</c:v>
                </c:pt>
                <c:pt idx="6">
                  <c:v>-69.032822534978038</c:v>
                </c:pt>
                <c:pt idx="7">
                  <c:v>-69.061636169344297</c:v>
                </c:pt>
                <c:pt idx="8">
                  <c:v>-69.09028301276706</c:v>
                </c:pt>
                <c:pt idx="9">
                  <c:v>-69.118763852932858</c:v>
                </c:pt>
                <c:pt idx="10">
                  <c:v>-69.147079469488091</c:v>
                </c:pt>
                <c:pt idx="11">
                  <c:v>-69.175230634145294</c:v>
                </c:pt>
                <c:pt idx="12">
                  <c:v>-69.203218110787603</c:v>
                </c:pt>
                <c:pt idx="13">
                  <c:v>-69.231042655571372</c:v>
                </c:pt>
                <c:pt idx="14">
                  <c:v>-69.258705017026941</c:v>
                </c:pt>
                <c:pt idx="15">
                  <c:v>-69.2862059361577</c:v>
                </c:pt>
                <c:pt idx="16">
                  <c:v>-69.313546146537334</c:v>
                </c:pt>
                <c:pt idx="17">
                  <c:v>-69.34072637440552</c:v>
                </c:pt>
                <c:pt idx="18">
                  <c:v>-69.367747338761745</c:v>
                </c:pt>
                <c:pt idx="19">
                  <c:v>-69.394609751457736</c:v>
                </c:pt>
                <c:pt idx="20">
                  <c:v>-69.42131431728815</c:v>
                </c:pt>
                <c:pt idx="21">
                  <c:v>-69.447861734079908</c:v>
                </c:pt>
                <c:pt idx="22">
                  <c:v>-69.474252692779558</c:v>
                </c:pt>
                <c:pt idx="23">
                  <c:v>-69.50048787753974</c:v>
                </c:pt>
                <c:pt idx="24">
                  <c:v>-69.526567965803764</c:v>
                </c:pt>
                <c:pt idx="25">
                  <c:v>-69.552493628388888</c:v>
                </c:pt>
                <c:pt idx="26">
                  <c:v>-69.57826552956827</c:v>
                </c:pt>
                <c:pt idx="27">
                  <c:v>-69.603884327151462</c:v>
                </c:pt>
                <c:pt idx="28">
                  <c:v>-69.62935067256349</c:v>
                </c:pt>
                <c:pt idx="29">
                  <c:v>-69.654665210922872</c:v>
                </c:pt>
                <c:pt idx="30">
                  <c:v>-69.679828581117945</c:v>
                </c:pt>
                <c:pt idx="31">
                  <c:v>-69.704841415882385</c:v>
                </c:pt>
                <c:pt idx="32">
                  <c:v>-69.72970434186918</c:v>
                </c:pt>
                <c:pt idx="33">
                  <c:v>-69.754417979723385</c:v>
                </c:pt>
                <c:pt idx="34">
                  <c:v>-69.778982944153924</c:v>
                </c:pt>
                <c:pt idx="35">
                  <c:v>-69.803399844003934</c:v>
                </c:pt>
                <c:pt idx="36">
                  <c:v>-69.82766928232023</c:v>
                </c:pt>
                <c:pt idx="37">
                  <c:v>-69.851791856421357</c:v>
                </c:pt>
                <c:pt idx="38">
                  <c:v>-69.875768157964927</c:v>
                </c:pt>
                <c:pt idx="39">
                  <c:v>-69.899598773013508</c:v>
                </c:pt>
                <c:pt idx="40">
                  <c:v>-69.923284282099516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04B8-BA4B-B60E-1C15A8AB85BF}"/>
            </c:ext>
          </c:extLst>
        </c:ser>
        <c:ser>
          <c:idx val="0"/>
          <c:order val="1"/>
          <c:tx>
            <c:strRef>
              <c:f>Standortgrafik!$P$17</c:f>
              <c:strCache>
                <c:ptCount val="1"/>
              </c:strCache>
            </c:strRef>
          </c:tx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Standortgrafik!$P$18:$P$60</c:f>
              <c:numCache>
                <c:formatCode>0.00</c:formatCode>
                <c:ptCount val="43"/>
                <c:pt idx="0">
                  <c:v>-70.526064616129048</c:v>
                </c:pt>
                <c:pt idx="1">
                  <c:v>-70.480255199599995</c:v>
                </c:pt>
                <c:pt idx="2">
                  <c:v>-70.434775229550198</c:v>
                </c:pt>
                <c:pt idx="3">
                  <c:v>-70.389621637912754</c:v>
                </c:pt>
                <c:pt idx="4">
                  <c:v>-70.344791412080127</c:v>
                </c:pt>
                <c:pt idx="5">
                  <c:v>-70.30028159351663</c:v>
                </c:pt>
                <c:pt idx="6">
                  <c:v>-70.25608927641531</c:v>
                </c:pt>
                <c:pt idx="7">
                  <c:v>-70.21221160639891</c:v>
                </c:pt>
                <c:pt idx="8">
                  <c:v>-70.168645779261155</c:v>
                </c:pt>
                <c:pt idx="9">
                  <c:v>-70.125389039749152</c:v>
                </c:pt>
                <c:pt idx="10">
                  <c:v>-70.082438680383049</c:v>
                </c:pt>
                <c:pt idx="11">
                  <c:v>-70.039792040313472</c:v>
                </c:pt>
                <c:pt idx="12">
                  <c:v>-69.997446504213741</c:v>
                </c:pt>
                <c:pt idx="13">
                  <c:v>-69.955399501206699</c:v>
                </c:pt>
                <c:pt idx="14">
                  <c:v>-69.913648503824163</c:v>
                </c:pt>
                <c:pt idx="15">
                  <c:v>-69.872191026998038</c:v>
                </c:pt>
                <c:pt idx="16">
                  <c:v>-69.831024627081902</c:v>
                </c:pt>
                <c:pt idx="17">
                  <c:v>-69.790146900902045</c:v>
                </c:pt>
                <c:pt idx="18">
                  <c:v>-69.749555484836506</c:v>
                </c:pt>
                <c:pt idx="19">
                  <c:v>-69.709248053921542</c:v>
                </c:pt>
                <c:pt idx="20">
                  <c:v>-69.66922232098463</c:v>
                </c:pt>
                <c:pt idx="21">
                  <c:v>-69.629476035802028</c:v>
                </c:pt>
                <c:pt idx="22">
                  <c:v>-69.590006984281516</c:v>
                </c:pt>
                <c:pt idx="23">
                  <c:v>-69.550812987668436</c:v>
                </c:pt>
                <c:pt idx="24">
                  <c:v>-69.511891901774234</c:v>
                </c:pt>
                <c:pt idx="25">
                  <c:v>-69.473241616227298</c:v>
                </c:pt>
                <c:pt idx="26">
                  <c:v>-69.434860053744771</c:v>
                </c:pt>
                <c:pt idx="27">
                  <c:v>-69.396745169424904</c:v>
                </c:pt>
                <c:pt idx="28">
                  <c:v>-69.358894950059025</c:v>
                </c:pt>
                <c:pt idx="29">
                  <c:v>-69.321307413462776</c:v>
                </c:pt>
                <c:pt idx="30">
                  <c:v>-69.283980607825754</c:v>
                </c:pt>
                <c:pt idx="31">
                  <c:v>-69.24691261107867</c:v>
                </c:pt>
                <c:pt idx="32">
                  <c:v>-69.210101530278237</c:v>
                </c:pt>
                <c:pt idx="33">
                  <c:v>-69.173545501008348</c:v>
                </c:pt>
                <c:pt idx="34">
                  <c:v>-69.13724268679735</c:v>
                </c:pt>
                <c:pt idx="35">
                  <c:v>-69.101191278551184</c:v>
                </c:pt>
                <c:pt idx="36">
                  <c:v>-69.065389494001252</c:v>
                </c:pt>
                <c:pt idx="37">
                  <c:v>-69.029835577167177</c:v>
                </c:pt>
                <c:pt idx="38">
                  <c:v>-68.994527797833385</c:v>
                </c:pt>
                <c:pt idx="39">
                  <c:v>-68.959464451039494</c:v>
                </c:pt>
                <c:pt idx="40">
                  <c:v>-68.92464385658414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A-04B8-BA4B-B60E-1C15A8AB85BF}"/>
            </c:ext>
          </c:extLst>
        </c:ser>
        <c:ser>
          <c:idx val="1"/>
          <c:order val="2"/>
          <c:tx>
            <c:strRef>
              <c:f>Standortgrafik!$Q$17</c:f>
              <c:strCache>
                <c:ptCount val="1"/>
              </c:strCache>
            </c:strRef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Standortgrafik!$Q$18:$Q$60</c:f>
              <c:numCache>
                <c:formatCode>0.00</c:formatCode>
                <c:ptCount val="43"/>
                <c:pt idx="0">
                  <c:v>-69.208767935062681</c:v>
                </c:pt>
                <c:pt idx="1">
                  <c:v>-69.238036366863454</c:v>
                </c:pt>
                <c:pt idx="2">
                  <c:v>-69.267137352939429</c:v>
                </c:pt>
                <c:pt idx="3">
                  <c:v>-69.296071690575602</c:v>
                </c:pt>
                <c:pt idx="4">
                  <c:v>-69.324840168931871</c:v>
                </c:pt>
                <c:pt idx="5">
                  <c:v>-69.353443569150826</c:v>
                </c:pt>
                <c:pt idx="6">
                  <c:v>-69.381882664463518</c:v>
                </c:pt>
                <c:pt idx="7">
                  <c:v>-69.410158220293582</c:v>
                </c:pt>
                <c:pt idx="8">
                  <c:v>-69.438270994359158</c:v>
                </c:pt>
                <c:pt idx="9">
                  <c:v>-69.466221736773406</c:v>
                </c:pt>
                <c:pt idx="10">
                  <c:v>-69.494011190143013</c:v>
                </c:pt>
                <c:pt idx="11">
                  <c:v>-69.521640089665155</c:v>
                </c:pt>
                <c:pt idx="12">
                  <c:v>-69.549109163222596</c:v>
                </c:pt>
                <c:pt idx="13">
                  <c:v>-69.576419131477422</c:v>
                </c:pt>
                <c:pt idx="14">
                  <c:v>-69.603570707962689</c:v>
                </c:pt>
                <c:pt idx="15">
                  <c:v>-69.630564599173084</c:v>
                </c:pt>
                <c:pt idx="16">
                  <c:v>-69.657401504653592</c:v>
                </c:pt>
                <c:pt idx="17">
                  <c:v>-69.684082117086803</c:v>
                </c:pt>
                <c:pt idx="18">
                  <c:v>-69.71060712237896</c:v>
                </c:pt>
                <c:pt idx="19">
                  <c:v>-69.736977199744018</c:v>
                </c:pt>
                <c:pt idx="20">
                  <c:v>-69.763193021786762</c:v>
                </c:pt>
                <c:pt idx="21">
                  <c:v>-69.789255254584532</c:v>
                </c:pt>
                <c:pt idx="22">
                  <c:v>-69.815164557767147</c:v>
                </c:pt>
                <c:pt idx="23">
                  <c:v>-69.84092158459606</c:v>
                </c:pt>
                <c:pt idx="24">
                  <c:v>-69.866526982041634</c:v>
                </c:pt>
                <c:pt idx="25">
                  <c:v>-69.891981390859712</c:v>
                </c:pt>
                <c:pt idx="26">
                  <c:v>-69.91728544566638</c:v>
                </c:pt>
                <c:pt idx="27">
                  <c:v>-69.942439775012119</c:v>
                </c:pt>
                <c:pt idx="28">
                  <c:v>-69.967445001453939</c:v>
                </c:pt>
                <c:pt idx="29">
                  <c:v>-69.992301741627173</c:v>
                </c:pt>
                <c:pt idx="30">
                  <c:v>-70.017010606315537</c:v>
                </c:pt>
                <c:pt idx="31">
                  <c:v>-70.041572200520207</c:v>
                </c:pt>
                <c:pt idx="32">
                  <c:v>-70.06598712352806</c:v>
                </c:pt>
                <c:pt idx="33">
                  <c:v>-70.090255968978227</c:v>
                </c:pt>
                <c:pt idx="34">
                  <c:v>-70.114379324928194</c:v>
                </c:pt>
                <c:pt idx="35">
                  <c:v>-70.138357773918543</c:v>
                </c:pt>
                <c:pt idx="36">
                  <c:v>-70.162191893036521</c:v>
                </c:pt>
                <c:pt idx="37">
                  <c:v>-70.185882253978988</c:v>
                </c:pt>
                <c:pt idx="38">
                  <c:v>-70.209429423114116</c:v>
                </c:pt>
                <c:pt idx="39">
                  <c:v>-70.232833961542042</c:v>
                </c:pt>
                <c:pt idx="40">
                  <c:v>-70.25609642515488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04B8-BA4B-B60E-1C15A8AB85BF}"/>
            </c:ext>
          </c:extLst>
        </c:ser>
        <c:ser>
          <c:idx val="2"/>
          <c:order val="3"/>
          <c:tx>
            <c:strRef>
              <c:f>Standortgrafik!$R$17</c:f>
              <c:strCache>
                <c:ptCount val="1"/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Pt>
            <c:idx val="42"/>
            <c:marker>
              <c:symbol val="none"/>
            </c:marker>
            <c:bubble3D val="0"/>
            <c:spPr>
              <a:ln w="19050" cap="rnd">
                <a:solidFill>
                  <a:srgbClr val="0070C0"/>
                </a:solidFill>
                <a:round/>
                <a:tailEnd type="stealth"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D-04B8-BA4B-B60E-1C15A8AB85BF}"/>
              </c:ext>
            </c:extLst>
          </c:dPt>
          <c:xVal>
            <c:numRef>
              <c:f>Standortgrafik!$R$18:$R$60</c:f>
              <c:numCache>
                <c:formatCode>General</c:formatCode>
                <c:ptCount val="43"/>
                <c:pt idx="41" formatCode="0.00">
                  <c:v>-69.458617364173094</c:v>
                </c:pt>
                <c:pt idx="42" formatCode="0.00">
                  <c:v>-69.726008452265447</c:v>
                </c:pt>
              </c:numCache>
            </c:numRef>
          </c:xVal>
          <c:yVal>
            <c:numRef>
              <c:f>Standortgrafik!$J$18:$J$60</c:f>
              <c:numCache>
                <c:formatCode>#,##0.00\ _€</c:formatCode>
                <c:ptCount val="43"/>
                <c:pt idx="0">
                  <c:v>24.342944603363652</c:v>
                </c:pt>
                <c:pt idx="1">
                  <c:v>24.292944603363651</c:v>
                </c:pt>
                <c:pt idx="2">
                  <c:v>24.24294460336365</c:v>
                </c:pt>
                <c:pt idx="3">
                  <c:v>24.192944603363649</c:v>
                </c:pt>
                <c:pt idx="4">
                  <c:v>24.142944603363649</c:v>
                </c:pt>
                <c:pt idx="5">
                  <c:v>24.092944603363648</c:v>
                </c:pt>
                <c:pt idx="6">
                  <c:v>24.042944603363647</c:v>
                </c:pt>
                <c:pt idx="7">
                  <c:v>23.992944603363647</c:v>
                </c:pt>
                <c:pt idx="8">
                  <c:v>23.942944603363646</c:v>
                </c:pt>
                <c:pt idx="9">
                  <c:v>23.892944603363645</c:v>
                </c:pt>
                <c:pt idx="10">
                  <c:v>23.842944603363645</c:v>
                </c:pt>
                <c:pt idx="11">
                  <c:v>23.792944603363644</c:v>
                </c:pt>
                <c:pt idx="12">
                  <c:v>23.742944603363643</c:v>
                </c:pt>
                <c:pt idx="13">
                  <c:v>23.692944603363642</c:v>
                </c:pt>
                <c:pt idx="14">
                  <c:v>23.642944603363642</c:v>
                </c:pt>
                <c:pt idx="15">
                  <c:v>23.592944603363641</c:v>
                </c:pt>
                <c:pt idx="16">
                  <c:v>23.54294460336364</c:v>
                </c:pt>
                <c:pt idx="17">
                  <c:v>23.49294460336364</c:v>
                </c:pt>
                <c:pt idx="18">
                  <c:v>23.442944603363639</c:v>
                </c:pt>
                <c:pt idx="19">
                  <c:v>23.392944603363638</c:v>
                </c:pt>
                <c:pt idx="20">
                  <c:v>23.342944603363637</c:v>
                </c:pt>
                <c:pt idx="21">
                  <c:v>23.292944603363637</c:v>
                </c:pt>
                <c:pt idx="22">
                  <c:v>23.242944603363636</c:v>
                </c:pt>
                <c:pt idx="23">
                  <c:v>23.192944603363635</c:v>
                </c:pt>
                <c:pt idx="24">
                  <c:v>23.142944603363635</c:v>
                </c:pt>
                <c:pt idx="25">
                  <c:v>23.092944603363634</c:v>
                </c:pt>
                <c:pt idx="26">
                  <c:v>23.042944603363633</c:v>
                </c:pt>
                <c:pt idx="27">
                  <c:v>22.992944603363632</c:v>
                </c:pt>
                <c:pt idx="28">
                  <c:v>22.942944603363632</c:v>
                </c:pt>
                <c:pt idx="29">
                  <c:v>22.892944603363631</c:v>
                </c:pt>
                <c:pt idx="30">
                  <c:v>22.84294460336363</c:v>
                </c:pt>
                <c:pt idx="31">
                  <c:v>22.79294460336363</c:v>
                </c:pt>
                <c:pt idx="32">
                  <c:v>22.742944603363629</c:v>
                </c:pt>
                <c:pt idx="33">
                  <c:v>22.692944603363628</c:v>
                </c:pt>
                <c:pt idx="34">
                  <c:v>22.642944603363627</c:v>
                </c:pt>
                <c:pt idx="35">
                  <c:v>22.592944603363627</c:v>
                </c:pt>
                <c:pt idx="36">
                  <c:v>22.542944603363626</c:v>
                </c:pt>
                <c:pt idx="37">
                  <c:v>22.492944603363625</c:v>
                </c:pt>
                <c:pt idx="38">
                  <c:v>22.442944603363625</c:v>
                </c:pt>
                <c:pt idx="39">
                  <c:v>22.392944603363624</c:v>
                </c:pt>
                <c:pt idx="40">
                  <c:v>22.342944603363623</c:v>
                </c:pt>
                <c:pt idx="41">
                  <c:v>23.272111270030305</c:v>
                </c:pt>
                <c:pt idx="42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C-04B8-BA4B-B60E-1C15A8AB8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85045856"/>
        <c:axId val="1385133584"/>
      </c:scatterChart>
      <c:valAx>
        <c:axId val="13850458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133584"/>
        <c:crosses val="autoZero"/>
        <c:crossBetween val="midCat"/>
        <c:majorUnit val="4"/>
        <c:minorUnit val="2"/>
      </c:valAx>
      <c:valAx>
        <c:axId val="13851335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.0\°_ ;[Red]\-0.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1385045856"/>
        <c:crosses val="autoZero"/>
        <c:crossBetween val="midCat"/>
        <c:majorUnit val="0.5"/>
        <c:minorUnit val="0.16660000000000003"/>
      </c:valAx>
      <c:spPr>
        <a:noFill/>
        <a:ln>
          <a:noFill/>
        </a:ln>
        <a:effectLst/>
      </c:spPr>
    </c:plotArea>
    <c:plotVisOnly val="0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>
      <a:outerShdw blurRad="50800" dist="50800" dir="5400000" algn="ctr" rotWithShape="0">
        <a:schemeClr val="bg1"/>
      </a:outerShdw>
    </a:effectLst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882708810334875E-2"/>
          <c:y val="1.6340839581893335E-2"/>
          <c:w val="0.86166452597680609"/>
          <c:h val="0.96264283025484187"/>
        </c:manualLayout>
      </c:layout>
      <c:scatterChart>
        <c:scatterStyle val="smoothMarker"/>
        <c:varyColors val="0"/>
        <c:ser>
          <c:idx val="0"/>
          <c:order val="0"/>
          <c:tx>
            <c:v>lamda 1s</c:v>
          </c:tx>
          <c:spPr>
            <a:ln w="19050" cap="rnd" cmpd="sng">
              <a:solidFill>
                <a:schemeClr val="accent6">
                  <a:lumMod val="40000"/>
                  <a:lumOff val="60000"/>
                </a:schemeClr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Grafik'!$U$8:$U$193</c:f>
              <c:numCache>
                <c:formatCode>0.00</c:formatCode>
                <c:ptCount val="186"/>
                <c:pt idx="0">
                  <c:v>-45.072827344302048</c:v>
                </c:pt>
                <c:pt idx="1">
                  <c:v>-45.072827344302048</c:v>
                </c:pt>
                <c:pt idx="2">
                  <c:v>-43.670111526728412</c:v>
                </c:pt>
                <c:pt idx="3">
                  <c:v>-41.05595399018317</c:v>
                </c:pt>
                <c:pt idx="4">
                  <c:v>-39.451773336526863</c:v>
                </c:pt>
                <c:pt idx="5">
                  <c:v>-38.195260505430568</c:v>
                </c:pt>
                <c:pt idx="6">
                  <c:v>-37.134826702145432</c:v>
                </c:pt>
                <c:pt idx="7">
                  <c:v>-36.205511947491097</c:v>
                </c:pt>
                <c:pt idx="8">
                  <c:v>-35.372263009656415</c:v>
                </c:pt>
                <c:pt idx="9">
                  <c:v>-34.613570271507314</c:v>
                </c:pt>
                <c:pt idx="10">
                  <c:v>-33.915088222919557</c:v>
                </c:pt>
                <c:pt idx="11">
                  <c:v>-33.2666705152036</c:v>
                </c:pt>
                <c:pt idx="12">
                  <c:v>-32.660819698567899</c:v>
                </c:pt>
                <c:pt idx="13">
                  <c:v>-32.091804477521968</c:v>
                </c:pt>
                <c:pt idx="14">
                  <c:v>-31.555123341732262</c:v>
                </c:pt>
                <c:pt idx="15">
                  <c:v>-31.047161528838171</c:v>
                </c:pt>
                <c:pt idx="16">
                  <c:v>-30.564962331553605</c:v>
                </c:pt>
                <c:pt idx="17">
                  <c:v>-30.106069302030555</c:v>
                </c:pt>
                <c:pt idx="18">
                  <c:v>-29.668414175891893</c:v>
                </c:pt>
                <c:pt idx="19">
                  <c:v>-29.250235275570606</c:v>
                </c:pt>
                <c:pt idx="20">
                  <c:v>-28.850016820024685</c:v>
                </c:pt>
                <c:pt idx="21">
                  <c:v>-28.466442933306361</c:v>
                </c:pt>
                <c:pt idx="22">
                  <c:v>-28.098362213727334</c:v>
                </c:pt>
                <c:pt idx="23">
                  <c:v>-27.744760036922031</c:v>
                </c:pt>
                <c:pt idx="24">
                  <c:v>-27.404736619952274</c:v>
                </c:pt>
                <c:pt idx="25">
                  <c:v>-27.077489442811181</c:v>
                </c:pt>
                <c:pt idx="26">
                  <c:v>-26.762299011293109</c:v>
                </c:pt>
                <c:pt idx="27">
                  <c:v>-26.458517214221455</c:v>
                </c:pt>
                <c:pt idx="28">
                  <c:v>-26.165557718003118</c:v>
                </c:pt>
                <c:pt idx="29">
                  <c:v>-25.882887977751519</c:v>
                </c:pt>
                <c:pt idx="30">
                  <c:v>-25.610022543383113</c:v>
                </c:pt>
                <c:pt idx="31">
                  <c:v>-25.346517412204722</c:v>
                </c:pt>
                <c:pt idx="32">
                  <c:v>-25.09196523407023</c:v>
                </c:pt>
                <c:pt idx="33">
                  <c:v>-24.845991216358211</c:v>
                </c:pt>
                <c:pt idx="34">
                  <c:v>-24.608249607416862</c:v>
                </c:pt>
                <c:pt idx="35">
                  <c:v>-24.378420661289713</c:v>
                </c:pt>
                <c:pt idx="36">
                  <c:v>-24.156208005308905</c:v>
                </c:pt>
                <c:pt idx="37">
                  <c:v>-23.941336346846533</c:v>
                </c:pt>
                <c:pt idx="38">
                  <c:v>-23.733549467121851</c:v>
                </c:pt>
                <c:pt idx="39">
                  <c:v>-23.532608459192836</c:v>
                </c:pt>
                <c:pt idx="40">
                  <c:v>-23.338290174651878</c:v>
                </c:pt>
                <c:pt idx="41">
                  <c:v>-23.150385849501003</c:v>
                </c:pt>
                <c:pt idx="42">
                  <c:v>-22.968699884514034</c:v>
                </c:pt>
                <c:pt idx="43">
                  <c:v>-22.7930487593304</c:v>
                </c:pt>
                <c:pt idx="44">
                  <c:v>-22.623260062757765</c:v>
                </c:pt>
                <c:pt idx="45">
                  <c:v>-22.459171624422435</c:v>
                </c:pt>
                <c:pt idx="46">
                  <c:v>-22.300630735113426</c:v>
                </c:pt>
                <c:pt idx="47">
                  <c:v>-22.147493445001597</c:v>
                </c:pt>
                <c:pt idx="48">
                  <c:v>-21.999623930450952</c:v>
                </c:pt>
                <c:pt idx="49">
                  <c:v>-21.85689392142725</c:v>
                </c:pt>
                <c:pt idx="50">
                  <c:v>-21.719182182596114</c:v>
                </c:pt>
                <c:pt idx="51">
                  <c:v>-21.586374042122184</c:v>
                </c:pt>
                <c:pt idx="52">
                  <c:v>-21.458360962961258</c:v>
                </c:pt>
                <c:pt idx="53">
                  <c:v>-21.335040152103598</c:v>
                </c:pt>
                <c:pt idx="54">
                  <c:v>-21.2163142037966</c:v>
                </c:pt>
                <c:pt idx="55">
                  <c:v>-21.102090773261324</c:v>
                </c:pt>
                <c:pt idx="56">
                  <c:v>-20.99228227784177</c:v>
                </c:pt>
                <c:pt idx="57">
                  <c:v>-20.886805622884975</c:v>
                </c:pt>
                <c:pt idx="58">
                  <c:v>-20.785581949967799</c:v>
                </c:pt>
                <c:pt idx="59">
                  <c:v>-20.688536405357549</c:v>
                </c:pt>
                <c:pt idx="60">
                  <c:v>-20.595597926831996</c:v>
                </c:pt>
                <c:pt idx="61">
                  <c:v>-20.506699047192388</c:v>
                </c:pt>
                <c:pt idx="62">
                  <c:v>-20.421775712984235</c:v>
                </c:pt>
                <c:pt idx="63">
                  <c:v>-20.340767117100651</c:v>
                </c:pt>
                <c:pt idx="64">
                  <c:v>-20.263615544083226</c:v>
                </c:pt>
                <c:pt idx="65">
                  <c:v>-20.190266227059027</c:v>
                </c:pt>
                <c:pt idx="66">
                  <c:v>-20.120667215362168</c:v>
                </c:pt>
                <c:pt idx="67">
                  <c:v>-20.054769251984325</c:v>
                </c:pt>
                <c:pt idx="68">
                  <c:v>-19.992525660086077</c:v>
                </c:pt>
                <c:pt idx="69">
                  <c:v>-19.933892237875895</c:v>
                </c:pt>
                <c:pt idx="70">
                  <c:v>-19.878827161233165</c:v>
                </c:pt>
                <c:pt idx="71">
                  <c:v>-19.827290893511766</c:v>
                </c:pt>
                <c:pt idx="72">
                  <c:v>-19.779246102016462</c:v>
                </c:pt>
                <c:pt idx="73">
                  <c:v>-19.734657580691913</c:v>
                </c:pt>
                <c:pt idx="74">
                  <c:v>-19.693492178609997</c:v>
                </c:pt>
                <c:pt idx="75">
                  <c:v>-19.655718733879997</c:v>
                </c:pt>
                <c:pt idx="76">
                  <c:v>-19.621308012642402</c:v>
                </c:pt>
                <c:pt idx="77">
                  <c:v>-19.590232652840257</c:v>
                </c:pt>
                <c:pt idx="78">
                  <c:v>-19.562467112491113</c:v>
                </c:pt>
                <c:pt idx="79">
                  <c:v>-19.537987622210657</c:v>
                </c:pt>
                <c:pt idx="80">
                  <c:v>-19.516772141762715</c:v>
                </c:pt>
                <c:pt idx="81">
                  <c:v>-19.498800320434778</c:v>
                </c:pt>
                <c:pt idx="82">
                  <c:v>-19.48405346105729</c:v>
                </c:pt>
                <c:pt idx="83">
                  <c:v>-19.472514487506462</c:v>
                </c:pt>
                <c:pt idx="84">
                  <c:v>-19.464167915546565</c:v>
                </c:pt>
                <c:pt idx="85">
                  <c:v>-19.458999826885865</c:v>
                </c:pt>
                <c:pt idx="86">
                  <c:v>-19.456997846335781</c:v>
                </c:pt>
                <c:pt idx="87">
                  <c:v>-19.458151121977348</c:v>
                </c:pt>
                <c:pt idx="88">
                  <c:v>-19.46245030825386</c:v>
                </c:pt>
                <c:pt idx="89">
                  <c:v>-19.469887551921886</c:v>
                </c:pt>
                <c:pt idx="90">
                  <c:v>-19.480456480805685</c:v>
                </c:pt>
                <c:pt idx="91">
                  <c:v>-19.494152195312921</c:v>
                </c:pt>
                <c:pt idx="92">
                  <c:v>-19.510971262681515</c:v>
                </c:pt>
                <c:pt idx="93">
                  <c:v>-19.530911713939759</c:v>
                </c:pt>
                <c:pt idx="94">
                  <c:v>-19.553973043573887</c:v>
                </c:pt>
                <c:pt idx="95">
                  <c:v>-19.580156211908722</c:v>
                </c:pt>
                <c:pt idx="96">
                  <c:v>-19.609463650219467</c:v>
                </c:pt>
                <c:pt idx="97">
                  <c:v>-19.641899268604785</c:v>
                </c:pt>
                <c:pt idx="98">
                  <c:v>-19.677468466663441</c:v>
                </c:pt>
                <c:pt idx="99">
                  <c:v>-19.716178147029961</c:v>
                </c:pt>
                <c:pt idx="100">
                  <c:v>-19.758036731837876</c:v>
                </c:pt>
                <c:pt idx="101">
                  <c:v>-19.803054182192831</c:v>
                </c:pt>
                <c:pt idx="102">
                  <c:v>-19.851242020752856</c:v>
                </c:pt>
                <c:pt idx="103">
                  <c:v>-19.902613357527745</c:v>
                </c:pt>
                <c:pt idx="104">
                  <c:v>-19.957182919027179</c:v>
                </c:pt>
                <c:pt idx="105">
                  <c:v>-20.014967080903265</c:v>
                </c:pt>
                <c:pt idx="106">
                  <c:v>-20.075983904253142</c:v>
                </c:pt>
                <c:pt idx="107">
                  <c:v>-20.140253175767626</c:v>
                </c:pt>
                <c:pt idx="108">
                  <c:v>-20.207796451933167</c:v>
                </c:pt>
                <c:pt idx="109">
                  <c:v>-20.278637107519664</c:v>
                </c:pt>
                <c:pt idx="110">
                  <c:v>-20.352800388611815</c:v>
                </c:pt>
                <c:pt idx="111">
                  <c:v>-20.430313470471553</c:v>
                </c:pt>
                <c:pt idx="112">
                  <c:v>-20.511205520550337</c:v>
                </c:pt>
                <c:pt idx="113">
                  <c:v>-20.595507767004964</c:v>
                </c:pt>
                <c:pt idx="114">
                  <c:v>-20.683253573109841</c:v>
                </c:pt>
                <c:pt idx="115">
                  <c:v>-20.774478518001047</c:v>
                </c:pt>
                <c:pt idx="116">
                  <c:v>-20.869220484235914</c:v>
                </c:pt>
                <c:pt idx="117">
                  <c:v>-20.967519752704433</c:v>
                </c:pt>
                <c:pt idx="118">
                  <c:v>-21.069419105488794</c:v>
                </c:pt>
                <c:pt idx="119">
                  <c:v>-21.174963937334393</c:v>
                </c:pt>
                <c:pt idx="120">
                  <c:v>-21.284202376469388</c:v>
                </c:pt>
                <c:pt idx="121">
                  <c:v>-21.397185415595434</c:v>
                </c:pt>
                <c:pt idx="122">
                  <c:v>-21.51396705396655</c:v>
                </c:pt>
                <c:pt idx="123">
                  <c:v>-21.634604451580987</c:v>
                </c:pt>
                <c:pt idx="124">
                  <c:v>-21.759158096631936</c:v>
                </c:pt>
                <c:pt idx="125">
                  <c:v>-21.887691987503132</c:v>
                </c:pt>
                <c:pt idx="126">
                  <c:v>-22.020273830750941</c:v>
                </c:pt>
                <c:pt idx="127">
                  <c:v>-22.156975256695979</c:v>
                </c:pt>
                <c:pt idx="128">
                  <c:v>-22.297872054453109</c:v>
                </c:pt>
                <c:pt idx="129">
                  <c:v>-22.443044428464784</c:v>
                </c:pt>
                <c:pt idx="130">
                  <c:v>-22.592577278875218</c:v>
                </c:pt>
                <c:pt idx="131">
                  <c:v>-22.746560508396946</c:v>
                </c:pt>
                <c:pt idx="132">
                  <c:v>-22.905089358685327</c:v>
                </c:pt>
                <c:pt idx="133">
                  <c:v>-23.068264779657426</c:v>
                </c:pt>
                <c:pt idx="134">
                  <c:v>-23.236193835685636</c:v>
                </c:pt>
                <c:pt idx="135">
                  <c:v>-23.408990153167768</c:v>
                </c:pt>
                <c:pt idx="136">
                  <c:v>-23.586774414651568</c:v>
                </c:pt>
                <c:pt idx="137">
                  <c:v>-23.769674905482034</c:v>
                </c:pt>
                <c:pt idx="138">
                  <c:v>-23.957828119875426</c:v>
                </c:pt>
                <c:pt idx="139">
                  <c:v>-24.151379434433146</c:v>
                </c:pt>
                <c:pt idx="140">
                  <c:v>-24.350483858427594</c:v>
                </c:pt>
                <c:pt idx="141">
                  <c:v>-24.555306871768355</c:v>
                </c:pt>
                <c:pt idx="142">
                  <c:v>-24.766025363450165</c:v>
                </c:pt>
                <c:pt idx="143">
                  <c:v>-24.982828685565856</c:v>
                </c:pt>
                <c:pt idx="144">
                  <c:v>-25.205919840732633</c:v>
                </c:pt>
                <c:pt idx="145">
                  <c:v>-25.435516824147879</c:v>
                </c:pt>
                <c:pt idx="146">
                  <c:v>-25.671854145615146</c:v>
                </c:pt>
                <c:pt idx="147">
                  <c:v>-25.915184561959649</c:v>
                </c:pt>
                <c:pt idx="148">
                  <c:v>-26.16578105654505</c:v>
                </c:pt>
                <c:pt idx="149">
                  <c:v>-26.423939110450124</c:v>
                </c:pt>
                <c:pt idx="150">
                  <c:v>-26.689979319713078</c:v>
                </c:pt>
                <c:pt idx="151">
                  <c:v>-26.964250425506712</c:v>
                </c:pt>
                <c:pt idx="152">
                  <c:v>-27.247132839976146</c:v>
                </c:pt>
                <c:pt idx="153">
                  <c:v>-27.539042770858163</c:v>
                </c:pt>
                <c:pt idx="154">
                  <c:v>-27.840437074422375</c:v>
                </c:pt>
                <c:pt idx="155">
                  <c:v>-28.151819000837111</c:v>
                </c:pt>
                <c:pt idx="156">
                  <c:v>-28.473745041742454</c:v>
                </c:pt>
                <c:pt idx="157">
                  <c:v>-28.806833150837786</c:v>
                </c:pt>
                <c:pt idx="158">
                  <c:v>-29.151772690794107</c:v>
                </c:pt>
                <c:pt idx="159">
                  <c:v>-29.509336572774348</c:v>
                </c:pt>
                <c:pt idx="160">
                  <c:v>-29.88039621172242</c:v>
                </c:pt>
                <c:pt idx="161">
                  <c:v>-30.265940141774365</c:v>
                </c:pt>
                <c:pt idx="162">
                  <c:v>-30.667097453311396</c:v>
                </c:pt>
                <c:pt idx="163">
                  <c:v>-31.08516767645003</c:v>
                </c:pt>
                <c:pt idx="164">
                  <c:v>-31.521659426543387</c:v>
                </c:pt>
                <c:pt idx="165">
                  <c:v>-31.978341181194605</c:v>
                </c:pt>
                <c:pt idx="166">
                  <c:v>-32.457309208363384</c:v>
                </c:pt>
                <c:pt idx="167">
                  <c:v>-32.96108032532711</c:v>
                </c:pt>
                <c:pt idx="168">
                  <c:v>-33.49272160282284</c:v>
                </c:pt>
                <c:pt idx="169">
                  <c:v>-34.05603681256764</c:v>
                </c:pt>
                <c:pt idx="170">
                  <c:v>-34.655843346047071</c:v>
                </c:pt>
                <c:pt idx="171">
                  <c:v>-35.298399976662317</c:v>
                </c:pt>
                <c:pt idx="172">
                  <c:v>-35.992100214942461</c:v>
                </c:pt>
                <c:pt idx="173">
                  <c:v>-36.74866624722317</c:v>
                </c:pt>
                <c:pt idx="174">
                  <c:v>-37.585372919759216</c:v>
                </c:pt>
                <c:pt idx="175">
                  <c:v>-38.529657208756454</c:v>
                </c:pt>
                <c:pt idx="176">
                  <c:v>-39.630275731202666</c:v>
                </c:pt>
                <c:pt idx="177">
                  <c:v>-40.992085541964471</c:v>
                </c:pt>
                <c:pt idx="178">
                  <c:v>-42.961779682586744</c:v>
                </c:pt>
                <c:pt idx="179">
                  <c:v>-45.140653603523617</c:v>
                </c:pt>
                <c:pt idx="180">
                  <c:v>-45.140653603523617</c:v>
                </c:pt>
                <c:pt idx="181">
                  <c:v>-45.140653603523617</c:v>
                </c:pt>
                <c:pt idx="182">
                  <c:v>-45.140653603523617</c:v>
                </c:pt>
                <c:pt idx="183">
                  <c:v>-45.140653603523617</c:v>
                </c:pt>
                <c:pt idx="184">
                  <c:v>-45.140653603523617</c:v>
                </c:pt>
                <c:pt idx="185">
                  <c:v>-45.140653603523617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D39-4440-9FF5-395D9AC8DD4F}"/>
            </c:ext>
          </c:extLst>
        </c:ser>
        <c:ser>
          <c:idx val="1"/>
          <c:order val="1"/>
          <c:tx>
            <c:v>lamda 1</c:v>
          </c:tx>
          <c:spPr>
            <a:ln w="2540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Grafik'!$T$8:$T$193</c:f>
              <c:numCache>
                <c:formatCode>0.00</c:formatCode>
                <c:ptCount val="186"/>
                <c:pt idx="0">
                  <c:v>-46.663214713314595</c:v>
                </c:pt>
                <c:pt idx="1">
                  <c:v>-46.663214713314595</c:v>
                </c:pt>
                <c:pt idx="2">
                  <c:v>-48.065930530888231</c:v>
                </c:pt>
                <c:pt idx="3">
                  <c:v>-50.680088067433473</c:v>
                </c:pt>
                <c:pt idx="4">
                  <c:v>-52.284268721089774</c:v>
                </c:pt>
                <c:pt idx="5">
                  <c:v>-53.540781552186075</c:v>
                </c:pt>
                <c:pt idx="6">
                  <c:v>-54.601215355471211</c:v>
                </c:pt>
                <c:pt idx="7">
                  <c:v>-55.530530110125547</c:v>
                </c:pt>
                <c:pt idx="8">
                  <c:v>-56.363779047960229</c:v>
                </c:pt>
                <c:pt idx="9">
                  <c:v>-57.12247178610933</c:v>
                </c:pt>
                <c:pt idx="10">
                  <c:v>-57.820953834697079</c:v>
                </c:pt>
                <c:pt idx="11">
                  <c:v>-58.46937154241305</c:v>
                </c:pt>
                <c:pt idx="12">
                  <c:v>-59.075222359048752</c:v>
                </c:pt>
                <c:pt idx="13">
                  <c:v>-59.644237580094668</c:v>
                </c:pt>
                <c:pt idx="14">
                  <c:v>-60.180918715884374</c:v>
                </c:pt>
                <c:pt idx="15">
                  <c:v>-60.688880528778476</c:v>
                </c:pt>
                <c:pt idx="16">
                  <c:v>-61.171079726063034</c:v>
                </c:pt>
                <c:pt idx="17">
                  <c:v>-61.629972755586081</c:v>
                </c:pt>
                <c:pt idx="18">
                  <c:v>-62.067627881724754</c:v>
                </c:pt>
                <c:pt idx="19">
                  <c:v>-62.485806782046048</c:v>
                </c:pt>
                <c:pt idx="20">
                  <c:v>-62.886025237591952</c:v>
                </c:pt>
                <c:pt idx="21">
                  <c:v>-63.269599124310275</c:v>
                </c:pt>
                <c:pt idx="22">
                  <c:v>-63.637679843889316</c:v>
                </c:pt>
                <c:pt idx="23">
                  <c:v>-63.991282020694619</c:v>
                </c:pt>
                <c:pt idx="24">
                  <c:v>-64.331305437664369</c:v>
                </c:pt>
                <c:pt idx="25">
                  <c:v>-64.658552614805473</c:v>
                </c:pt>
                <c:pt idx="26">
                  <c:v>-64.973743046323534</c:v>
                </c:pt>
                <c:pt idx="27">
                  <c:v>-65.277524843395184</c:v>
                </c:pt>
                <c:pt idx="28">
                  <c:v>-65.570484339613515</c:v>
                </c:pt>
                <c:pt idx="29">
                  <c:v>-65.853154079865135</c:v>
                </c:pt>
                <c:pt idx="30">
                  <c:v>-66.126019514233519</c:v>
                </c:pt>
                <c:pt idx="31">
                  <c:v>-66.38952464541191</c:v>
                </c:pt>
                <c:pt idx="32">
                  <c:v>-66.644076823546399</c:v>
                </c:pt>
                <c:pt idx="33">
                  <c:v>-66.890050841258429</c:v>
                </c:pt>
                <c:pt idx="34">
                  <c:v>-67.127792450199777</c:v>
                </c:pt>
                <c:pt idx="35">
                  <c:v>-67.35762139632692</c:v>
                </c:pt>
                <c:pt idx="36">
                  <c:v>-67.579834052307731</c:v>
                </c:pt>
                <c:pt idx="37">
                  <c:v>-67.794705710770117</c:v>
                </c:pt>
                <c:pt idx="38">
                  <c:v>-68.002492590494782</c:v>
                </c:pt>
                <c:pt idx="39">
                  <c:v>-68.2034335984238</c:v>
                </c:pt>
                <c:pt idx="40">
                  <c:v>-68.397751882964755</c:v>
                </c:pt>
                <c:pt idx="41">
                  <c:v>-68.585656208115637</c:v>
                </c:pt>
                <c:pt idx="42">
                  <c:v>-68.767342173102605</c:v>
                </c:pt>
                <c:pt idx="43">
                  <c:v>-68.942993298286254</c:v>
                </c:pt>
                <c:pt idx="44">
                  <c:v>-69.112781994858878</c:v>
                </c:pt>
                <c:pt idx="45">
                  <c:v>-69.276870433194205</c:v>
                </c:pt>
                <c:pt idx="46">
                  <c:v>-69.435411322503214</c:v>
                </c:pt>
                <c:pt idx="47">
                  <c:v>-69.588548612615043</c:v>
                </c:pt>
                <c:pt idx="48">
                  <c:v>-69.736418127165692</c:v>
                </c:pt>
                <c:pt idx="49">
                  <c:v>-69.879148136189386</c:v>
                </c:pt>
                <c:pt idx="50">
                  <c:v>-70.016859875020529</c:v>
                </c:pt>
                <c:pt idx="51">
                  <c:v>-70.14966801549447</c:v>
                </c:pt>
                <c:pt idx="52">
                  <c:v>-70.277681094655392</c:v>
                </c:pt>
                <c:pt idx="53">
                  <c:v>-70.401001905513041</c:v>
                </c:pt>
                <c:pt idx="54">
                  <c:v>-70.519727853820029</c:v>
                </c:pt>
                <c:pt idx="55">
                  <c:v>-70.633951284355305</c:v>
                </c:pt>
                <c:pt idx="56">
                  <c:v>-70.743759779774862</c:v>
                </c:pt>
                <c:pt idx="57">
                  <c:v>-70.849236434731679</c:v>
                </c:pt>
                <c:pt idx="58">
                  <c:v>-70.950460107648851</c:v>
                </c:pt>
                <c:pt idx="59">
                  <c:v>-71.04750565225909</c:v>
                </c:pt>
                <c:pt idx="60">
                  <c:v>-71.140444130784644</c:v>
                </c:pt>
                <c:pt idx="61">
                  <c:v>-71.229343010424245</c:v>
                </c:pt>
                <c:pt idx="62">
                  <c:v>-71.314266344632401</c:v>
                </c:pt>
                <c:pt idx="63">
                  <c:v>-71.395274940516003</c:v>
                </c:pt>
                <c:pt idx="64">
                  <c:v>-71.472426513533406</c:v>
                </c:pt>
                <c:pt idx="65">
                  <c:v>-71.545775830557616</c:v>
                </c:pt>
                <c:pt idx="66">
                  <c:v>-71.615374842254468</c:v>
                </c:pt>
                <c:pt idx="67">
                  <c:v>-71.681272805632318</c:v>
                </c:pt>
                <c:pt idx="68">
                  <c:v>-71.743516397530556</c:v>
                </c:pt>
                <c:pt idx="69">
                  <c:v>-71.802149819740748</c:v>
                </c:pt>
                <c:pt idx="70">
                  <c:v>-71.857214896383468</c:v>
                </c:pt>
                <c:pt idx="71">
                  <c:v>-71.908751164104871</c:v>
                </c:pt>
                <c:pt idx="72">
                  <c:v>-71.956795955600171</c:v>
                </c:pt>
                <c:pt idx="73">
                  <c:v>-72.001384476924741</c:v>
                </c:pt>
                <c:pt idx="74">
                  <c:v>-72.042549879006643</c:v>
                </c:pt>
                <c:pt idx="75">
                  <c:v>-72.08032332373665</c:v>
                </c:pt>
                <c:pt idx="76">
                  <c:v>-72.114734044974242</c:v>
                </c:pt>
                <c:pt idx="77">
                  <c:v>-72.145809404776372</c:v>
                </c:pt>
                <c:pt idx="78">
                  <c:v>-72.173574945125537</c:v>
                </c:pt>
                <c:pt idx="79">
                  <c:v>-72.198054435405979</c:v>
                </c:pt>
                <c:pt idx="80">
                  <c:v>-72.219269915853928</c:v>
                </c:pt>
                <c:pt idx="81">
                  <c:v>-72.237241737181861</c:v>
                </c:pt>
                <c:pt idx="82">
                  <c:v>-72.251988596559343</c:v>
                </c:pt>
                <c:pt idx="83">
                  <c:v>-72.263527570110185</c:v>
                </c:pt>
                <c:pt idx="84">
                  <c:v>-72.271874142070075</c:v>
                </c:pt>
                <c:pt idx="85">
                  <c:v>-72.277042230730785</c:v>
                </c:pt>
                <c:pt idx="86">
                  <c:v>-72.279044211280862</c:v>
                </c:pt>
                <c:pt idx="87">
                  <c:v>-72.277890935639306</c:v>
                </c:pt>
                <c:pt idx="88">
                  <c:v>-72.273591749362794</c:v>
                </c:pt>
                <c:pt idx="89">
                  <c:v>-72.266154505694757</c:v>
                </c:pt>
                <c:pt idx="90">
                  <c:v>-72.255585576810958</c:v>
                </c:pt>
                <c:pt idx="91">
                  <c:v>-72.241889862303708</c:v>
                </c:pt>
                <c:pt idx="92">
                  <c:v>-72.225070794935121</c:v>
                </c:pt>
                <c:pt idx="93">
                  <c:v>-72.205130343676885</c:v>
                </c:pt>
                <c:pt idx="94">
                  <c:v>-72.182069014042767</c:v>
                </c:pt>
                <c:pt idx="95">
                  <c:v>-72.155885845707914</c:v>
                </c:pt>
                <c:pt idx="96">
                  <c:v>-72.126578407397176</c:v>
                </c:pt>
                <c:pt idx="97">
                  <c:v>-72.094142789011869</c:v>
                </c:pt>
                <c:pt idx="98">
                  <c:v>-72.058573590953188</c:v>
                </c:pt>
                <c:pt idx="99">
                  <c:v>-72.019863910586693</c:v>
                </c:pt>
                <c:pt idx="100">
                  <c:v>-71.978005325778767</c:v>
                </c:pt>
                <c:pt idx="101">
                  <c:v>-71.932987875423819</c:v>
                </c:pt>
                <c:pt idx="102">
                  <c:v>-71.88480003686378</c:v>
                </c:pt>
                <c:pt idx="103">
                  <c:v>-71.833428700088888</c:v>
                </c:pt>
                <c:pt idx="104">
                  <c:v>-71.778859138589468</c:v>
                </c:pt>
                <c:pt idx="105">
                  <c:v>-71.721074976713368</c:v>
                </c:pt>
                <c:pt idx="106">
                  <c:v>-71.660058153363494</c:v>
                </c:pt>
                <c:pt idx="107">
                  <c:v>-71.595788881849018</c:v>
                </c:pt>
                <c:pt idx="108">
                  <c:v>-71.528245605683466</c:v>
                </c:pt>
                <c:pt idx="109">
                  <c:v>-71.457404950096972</c:v>
                </c:pt>
                <c:pt idx="110">
                  <c:v>-71.383241669004818</c:v>
                </c:pt>
                <c:pt idx="111">
                  <c:v>-71.305728587145097</c:v>
                </c:pt>
                <c:pt idx="112">
                  <c:v>-71.224836537066309</c:v>
                </c:pt>
                <c:pt idx="113">
                  <c:v>-71.140534290611683</c:v>
                </c:pt>
                <c:pt idx="114">
                  <c:v>-71.052788484506806</c:v>
                </c:pt>
                <c:pt idx="115">
                  <c:v>-70.961563539615597</c:v>
                </c:pt>
                <c:pt idx="116">
                  <c:v>-70.866821573380719</c:v>
                </c:pt>
                <c:pt idx="117">
                  <c:v>-70.768522304912196</c:v>
                </c:pt>
                <c:pt idx="118">
                  <c:v>-70.666622952127852</c:v>
                </c:pt>
                <c:pt idx="119">
                  <c:v>-70.561078120282247</c:v>
                </c:pt>
                <c:pt idx="120">
                  <c:v>-70.451839681147248</c:v>
                </c:pt>
                <c:pt idx="121">
                  <c:v>-70.338856642021199</c:v>
                </c:pt>
                <c:pt idx="122">
                  <c:v>-70.222075003650104</c:v>
                </c:pt>
                <c:pt idx="123">
                  <c:v>-70.10143760603566</c:v>
                </c:pt>
                <c:pt idx="124">
                  <c:v>-69.976883960984708</c:v>
                </c:pt>
                <c:pt idx="125">
                  <c:v>-69.848350070113511</c:v>
                </c:pt>
                <c:pt idx="126">
                  <c:v>-69.715768226865706</c:v>
                </c:pt>
                <c:pt idx="127">
                  <c:v>-69.579066800920657</c:v>
                </c:pt>
                <c:pt idx="128">
                  <c:v>-69.438170003163535</c:v>
                </c:pt>
                <c:pt idx="129">
                  <c:v>-69.29299762915187</c:v>
                </c:pt>
                <c:pt idx="130">
                  <c:v>-69.143464778741418</c:v>
                </c:pt>
                <c:pt idx="131">
                  <c:v>-68.989481549219704</c:v>
                </c:pt>
                <c:pt idx="132">
                  <c:v>-68.830952698931313</c:v>
                </c:pt>
                <c:pt idx="133">
                  <c:v>-68.667777277959232</c:v>
                </c:pt>
                <c:pt idx="134">
                  <c:v>-68.499848221931018</c:v>
                </c:pt>
                <c:pt idx="135">
                  <c:v>-68.327051904448879</c:v>
                </c:pt>
                <c:pt idx="136">
                  <c:v>-68.149267642965071</c:v>
                </c:pt>
                <c:pt idx="137">
                  <c:v>-67.966367152134609</c:v>
                </c:pt>
                <c:pt idx="138">
                  <c:v>-67.778213937741228</c:v>
                </c:pt>
                <c:pt idx="139">
                  <c:v>-67.58466262318349</c:v>
                </c:pt>
                <c:pt idx="140">
                  <c:v>-67.385558199189049</c:v>
                </c:pt>
                <c:pt idx="141">
                  <c:v>-67.180735185848278</c:v>
                </c:pt>
                <c:pt idx="142">
                  <c:v>-66.970016694166489</c:v>
                </c:pt>
                <c:pt idx="143">
                  <c:v>-66.75321337205078</c:v>
                </c:pt>
                <c:pt idx="144">
                  <c:v>-66.53012221688401</c:v>
                </c:pt>
                <c:pt idx="145">
                  <c:v>-66.300525233468761</c:v>
                </c:pt>
                <c:pt idx="146">
                  <c:v>-66.064187912001486</c:v>
                </c:pt>
                <c:pt idx="147">
                  <c:v>-65.820857495656981</c:v>
                </c:pt>
                <c:pt idx="148">
                  <c:v>-65.5702610010716</c:v>
                </c:pt>
                <c:pt idx="149">
                  <c:v>-65.312102947166508</c:v>
                </c:pt>
                <c:pt idx="150">
                  <c:v>-65.046062737903569</c:v>
                </c:pt>
                <c:pt idx="151">
                  <c:v>-64.771791632109924</c:v>
                </c:pt>
                <c:pt idx="152">
                  <c:v>-64.488909217640497</c:v>
                </c:pt>
                <c:pt idx="153">
                  <c:v>-64.196999286758469</c:v>
                </c:pt>
                <c:pt idx="154">
                  <c:v>-63.895604983194275</c:v>
                </c:pt>
                <c:pt idx="155">
                  <c:v>-63.584223056779535</c:v>
                </c:pt>
                <c:pt idx="156">
                  <c:v>-63.262297015874182</c:v>
                </c:pt>
                <c:pt idx="157">
                  <c:v>-62.929208906778861</c:v>
                </c:pt>
                <c:pt idx="158">
                  <c:v>-62.584269366822539</c:v>
                </c:pt>
                <c:pt idx="159">
                  <c:v>-62.226705484842299</c:v>
                </c:pt>
                <c:pt idx="160">
                  <c:v>-61.855645845894216</c:v>
                </c:pt>
                <c:pt idx="161">
                  <c:v>-61.470101915842285</c:v>
                </c:pt>
                <c:pt idx="162">
                  <c:v>-61.068944604305251</c:v>
                </c:pt>
                <c:pt idx="163">
                  <c:v>-60.650874381166616</c:v>
                </c:pt>
                <c:pt idx="164">
                  <c:v>-60.214382631073263</c:v>
                </c:pt>
                <c:pt idx="165">
                  <c:v>-59.757700876422035</c:v>
                </c:pt>
                <c:pt idx="166">
                  <c:v>-59.278732849253267</c:v>
                </c:pt>
                <c:pt idx="167">
                  <c:v>-58.77496173228954</c:v>
                </c:pt>
                <c:pt idx="168">
                  <c:v>-58.24332045479381</c:v>
                </c:pt>
                <c:pt idx="169">
                  <c:v>-57.68000524504901</c:v>
                </c:pt>
                <c:pt idx="170">
                  <c:v>-57.080198711569572</c:v>
                </c:pt>
                <c:pt idx="171">
                  <c:v>-56.437642080954326</c:v>
                </c:pt>
                <c:pt idx="172">
                  <c:v>-55.743941842674182</c:v>
                </c:pt>
                <c:pt idx="173">
                  <c:v>-54.987375810393473</c:v>
                </c:pt>
                <c:pt idx="174">
                  <c:v>-54.15066913785742</c:v>
                </c:pt>
                <c:pt idx="175">
                  <c:v>-53.206384848860189</c:v>
                </c:pt>
                <c:pt idx="176">
                  <c:v>-52.105766326413978</c:v>
                </c:pt>
                <c:pt idx="177">
                  <c:v>-50.743956515652172</c:v>
                </c:pt>
                <c:pt idx="178">
                  <c:v>-48.774262375029899</c:v>
                </c:pt>
                <c:pt idx="179">
                  <c:v>-46.595388454093026</c:v>
                </c:pt>
                <c:pt idx="180">
                  <c:v>-46.595388454093026</c:v>
                </c:pt>
                <c:pt idx="181">
                  <c:v>-46.595388454093026</c:v>
                </c:pt>
                <c:pt idx="182">
                  <c:v>-46.595388454093026</c:v>
                </c:pt>
                <c:pt idx="183">
                  <c:v>-46.595388454093026</c:v>
                </c:pt>
                <c:pt idx="184">
                  <c:v>-46.595388454093026</c:v>
                </c:pt>
                <c:pt idx="185">
                  <c:v>-46.595388454093026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D39-4440-9FF5-395D9AC8DD4F}"/>
            </c:ext>
          </c:extLst>
        </c:ser>
        <c:ser>
          <c:idx val="2"/>
          <c:order val="2"/>
          <c:tx>
            <c:v>lamda 2s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'globale Grafik'!$W$8:$W$193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-85.794066495315903</c:v>
                </c:pt>
                <c:pt idx="21">
                  <c:v>-82.634524682955586</c:v>
                </c:pt>
                <c:pt idx="22">
                  <c:v>-81.13199020133618</c:v>
                </c:pt>
                <c:pt idx="23">
                  <c:v>-79.991507985371413</c:v>
                </c:pt>
                <c:pt idx="24">
                  <c:v>-79.04274296713939</c:v>
                </c:pt>
                <c:pt idx="25">
                  <c:v>-78.218631952022307</c:v>
                </c:pt>
                <c:pt idx="26">
                  <c:v>-77.484431797914127</c:v>
                </c:pt>
                <c:pt idx="27">
                  <c:v>-76.819339776561065</c:v>
                </c:pt>
                <c:pt idx="28">
                  <c:v>-76.209709124607869</c:v>
                </c:pt>
                <c:pt idx="29">
                  <c:v>-75.646002163321441</c:v>
                </c:pt>
                <c:pt idx="30">
                  <c:v>-75.121234685296457</c:v>
                </c:pt>
                <c:pt idx="31">
                  <c:v>-74.630105622962134</c:v>
                </c:pt>
                <c:pt idx="32">
                  <c:v>-74.168475358030918</c:v>
                </c:pt>
                <c:pt idx="33">
                  <c:v>-73.733035661848248</c:v>
                </c:pt>
                <c:pt idx="34">
                  <c:v>-73.321091587218049</c:v>
                </c:pt>
                <c:pt idx="35">
                  <c:v>-72.93041207626537</c:v>
                </c:pt>
                <c:pt idx="36">
                  <c:v>-72.559124508845869</c:v>
                </c:pt>
                <c:pt idx="37">
                  <c:v>-72.205638335136669</c:v>
                </c:pt>
                <c:pt idx="38">
                  <c:v>-71.868588535278008</c:v>
                </c:pt>
                <c:pt idx="39">
                  <c:v>-71.546792944735287</c:v>
                </c:pt>
                <c:pt idx="40">
                  <c:v>-71.239219495156092</c:v>
                </c:pt>
                <c:pt idx="41">
                  <c:v>-70.944960686740586</c:v>
                </c:pt>
                <c:pt idx="42">
                  <c:v>-70.663213427664743</c:v>
                </c:pt>
                <c:pt idx="43">
                  <c:v>-70.393262919589759</c:v>
                </c:pt>
                <c:pt idx="44">
                  <c:v>-70.134469636665244</c:v>
                </c:pt>
                <c:pt idx="45">
                  <c:v>-69.886258700039093</c:v>
                </c:pt>
                <c:pt idx="46">
                  <c:v>-69.64811112900145</c:v>
                </c:pt>
                <c:pt idx="47">
                  <c:v>-69.419556577926471</c:v>
                </c:pt>
                <c:pt idx="48">
                  <c:v>-69.200167261059136</c:v>
                </c:pt>
                <c:pt idx="49">
                  <c:v>-68.989552835472296</c:v>
                </c:pt>
                <c:pt idx="50">
                  <c:v>-68.787356063344419</c:v>
                </c:pt>
                <c:pt idx="51">
                  <c:v>-68.593249112965267</c:v>
                </c:pt>
                <c:pt idx="52">
                  <c:v>-68.406930386983362</c:v>
                </c:pt>
                <c:pt idx="53">
                  <c:v>-68.228121788769286</c:v>
                </c:pt>
                <c:pt idx="54">
                  <c:v>-68.056566355102447</c:v>
                </c:pt>
                <c:pt idx="55">
                  <c:v>-67.892026196943178</c:v>
                </c:pt>
                <c:pt idx="56">
                  <c:v>-67.734280700732242</c:v>
                </c:pt>
                <c:pt idx="57">
                  <c:v>-67.583124951141045</c:v>
                </c:pt>
                <c:pt idx="58">
                  <c:v>-67.438368342976858</c:v>
                </c:pt>
                <c:pt idx="59">
                  <c:v>-67.299833355404061</c:v>
                </c:pt>
                <c:pt idx="60">
                  <c:v>-67.167354466063358</c:v>
                </c:pt>
                <c:pt idx="61">
                  <c:v>-67.040777186270674</c:v>
                </c:pt>
                <c:pt idx="62">
                  <c:v>-66.919957201428261</c:v>
                </c:pt>
                <c:pt idx="63">
                  <c:v>-66.804759603208666</c:v>
                </c:pt>
                <c:pt idx="64">
                  <c:v>-66.695058202083743</c:v>
                </c:pt>
                <c:pt idx="65">
                  <c:v>-66.590734910442606</c:v>
                </c:pt>
                <c:pt idx="66">
                  <c:v>-66.491679187940505</c:v>
                </c:pt>
                <c:pt idx="67">
                  <c:v>-66.397787541891788</c:v>
                </c:pt>
                <c:pt idx="68">
                  <c:v>-66.308963076509542</c:v>
                </c:pt>
                <c:pt idx="69">
                  <c:v>-66.225115085630108</c:v>
                </c:pt>
                <c:pt idx="70">
                  <c:v>-66.146158684270191</c:v>
                </c:pt>
                <c:pt idx="71">
                  <c:v>-66.072014474971866</c:v>
                </c:pt>
                <c:pt idx="72">
                  <c:v>-66.002608245407373</c:v>
                </c:pt>
                <c:pt idx="73">
                  <c:v>-65.937870694161347</c:v>
                </c:pt>
                <c:pt idx="74">
                  <c:v>-65.877737181993524</c:v>
                </c:pt>
                <c:pt idx="75">
                  <c:v>-65.822147506215032</c:v>
                </c:pt>
                <c:pt idx="76">
                  <c:v>-65.771045696101865</c:v>
                </c:pt>
                <c:pt idx="77">
                  <c:v>-65.724379827519385</c:v>
                </c:pt>
                <c:pt idx="78">
                  <c:v>-65.682101855152354</c:v>
                </c:pt>
                <c:pt idx="79">
                  <c:v>-65.644167460928358</c:v>
                </c:pt>
                <c:pt idx="80">
                  <c:v>-65.61053591739217</c:v>
                </c:pt>
                <c:pt idx="81">
                  <c:v>-65.581169964941068</c:v>
                </c:pt>
                <c:pt idx="82">
                  <c:v>-65.556035701963523</c:v>
                </c:pt>
                <c:pt idx="83">
                  <c:v>-65.53510248704616</c:v>
                </c:pt>
                <c:pt idx="84">
                  <c:v>-65.518342852519908</c:v>
                </c:pt>
                <c:pt idx="85">
                  <c:v>-65.505732428715561</c:v>
                </c:pt>
                <c:pt idx="86">
                  <c:v>-65.497249878387919</c:v>
                </c:pt>
                <c:pt idx="87">
                  <c:v>-65.492876840848652</c:v>
                </c:pt>
                <c:pt idx="88">
                  <c:v>-65.492597885425297</c:v>
                </c:pt>
                <c:pt idx="89">
                  <c:v>-65.496400473933278</c:v>
                </c:pt>
                <c:pt idx="90">
                  <c:v>-65.504274931915447</c:v>
                </c:pt>
                <c:pt idx="91">
                  <c:v>-65.516214428467336</c:v>
                </c:pt>
                <c:pt idx="92">
                  <c:v>-65.532214964527483</c:v>
                </c:pt>
                <c:pt idx="93">
                  <c:v>-65.552275369572314</c:v>
                </c:pt>
                <c:pt idx="94">
                  <c:v>-65.57639730671535</c:v>
                </c:pt>
                <c:pt idx="95">
                  <c:v>-65.604585286268218</c:v>
                </c:pt>
                <c:pt idx="96">
                  <c:v>-65.636846687883633</c:v>
                </c:pt>
                <c:pt idx="97">
                  <c:v>-65.673191791460596</c:v>
                </c:pt>
                <c:pt idx="98">
                  <c:v>-65.71363381705757</c:v>
                </c:pt>
                <c:pt idx="99">
                  <c:v>-65.758188974127634</c:v>
                </c:pt>
                <c:pt idx="100">
                  <c:v>-65.806876520460392</c:v>
                </c:pt>
                <c:pt idx="101">
                  <c:v>-65.859718831294614</c:v>
                </c:pt>
                <c:pt idx="102">
                  <c:v>-65.916741479148257</c:v>
                </c:pt>
                <c:pt idx="103">
                  <c:v>-65.977973325005152</c:v>
                </c:pt>
                <c:pt idx="104">
                  <c:v>-66.04344662159798</c:v>
                </c:pt>
                <c:pt idx="105">
                  <c:v>-66.113197129639815</c:v>
                </c:pt>
                <c:pt idx="106">
                  <c:v>-66.18726424798065</c:v>
                </c:pt>
                <c:pt idx="107">
                  <c:v>-66.265691158805694</c:v>
                </c:pt>
                <c:pt idx="108">
                  <c:v>-66.348524989150192</c:v>
                </c:pt>
                <c:pt idx="109">
                  <c:v>-66.435816990183355</c:v>
                </c:pt>
                <c:pt idx="110">
                  <c:v>-66.527622735918143</c:v>
                </c:pt>
                <c:pt idx="111">
                  <c:v>-66.624002343234395</c:v>
                </c:pt>
                <c:pt idx="112">
                  <c:v>-66.725020715370448</c:v>
                </c:pt>
                <c:pt idx="113">
                  <c:v>-66.830747811342661</c:v>
                </c:pt>
                <c:pt idx="114">
                  <c:v>-66.941258944107446</c:v>
                </c:pt>
                <c:pt idx="115">
                  <c:v>-67.05663511068984</c:v>
                </c:pt>
                <c:pt idx="116">
                  <c:v>-67.176963357980114</c:v>
                </c:pt>
                <c:pt idx="117">
                  <c:v>-67.302337188457813</c:v>
                </c:pt>
                <c:pt idx="118">
                  <c:v>-67.432857010756408</c:v>
                </c:pt>
                <c:pt idx="119">
                  <c:v>-67.568630640751451</c:v>
                </c:pt>
                <c:pt idx="120">
                  <c:v>-67.709773859765974</c:v>
                </c:pt>
                <c:pt idx="121">
                  <c:v>-67.856411037565351</c:v>
                </c:pt>
                <c:pt idx="122">
                  <c:v>-68.008675829102131</c:v>
                </c:pt>
                <c:pt idx="123">
                  <c:v>-68.166711955511204</c:v>
                </c:pt>
                <c:pt idx="124">
                  <c:v>-68.330674081708196</c:v>
                </c:pt>
                <c:pt idx="125">
                  <c:v>-68.50072880518367</c:v>
                </c:pt>
                <c:pt idx="126">
                  <c:v>-68.677055773302868</c:v>
                </c:pt>
                <c:pt idx="127">
                  <c:v>-68.859848949742172</c:v>
                </c:pt>
                <c:pt idx="128">
                  <c:v>-69.049318054766587</c:v>
                </c:pt>
                <c:pt idx="129">
                  <c:v>-69.2456902090873</c:v>
                </c:pt>
                <c:pt idx="130">
                  <c:v>-69.449211817292024</c:v>
                </c:pt>
                <c:pt idx="131">
                  <c:v>-69.660150734664441</c:v>
                </c:pt>
                <c:pt idx="132">
                  <c:v>-69.878798771063842</c:v>
                </c:pt>
                <c:pt idx="133">
                  <c:v>-70.105474598044097</c:v>
                </c:pt>
                <c:pt idx="134">
                  <c:v>-70.340527141389614</c:v>
                </c:pt>
                <c:pt idx="135">
                  <c:v>-70.584339561886139</c:v>
                </c:pt>
                <c:pt idx="136">
                  <c:v>-70.837333954015236</c:v>
                </c:pt>
                <c:pt idx="137">
                  <c:v>-71.099976927587676</c:v>
                </c:pt>
                <c:pt idx="138">
                  <c:v>-71.372786284260414</c:v>
                </c:pt>
                <c:pt idx="139">
                  <c:v>-71.656339063942937</c:v>
                </c:pt>
                <c:pt idx="140">
                  <c:v>-71.951281321884053</c:v>
                </c:pt>
                <c:pt idx="141">
                  <c:v>-72.258340115492402</c:v>
                </c:pt>
                <c:pt idx="142">
                  <c:v>-72.578338345395593</c:v>
                </c:pt>
                <c:pt idx="143">
                  <c:v>-72.912213330428614</c:v>
                </c:pt>
                <c:pt idx="144">
                  <c:v>-73.261040336521901</c:v>
                </c:pt>
                <c:pt idx="145">
                  <c:v>-73.626062781485771</c:v>
                </c:pt>
                <c:pt idx="146">
                  <c:v>-74.008731594632664</c:v>
                </c:pt>
                <c:pt idx="147">
                  <c:v>-74.410757379610942</c:v>
                </c:pt>
                <c:pt idx="148">
                  <c:v>-74.834180885874346</c:v>
                </c:pt>
                <c:pt idx="149">
                  <c:v>-75.281470336891502</c:v>
                </c:pt>
                <c:pt idx="150">
                  <c:v>-75.755659330899789</c:v>
                </c:pt>
                <c:pt idx="151">
                  <c:v>-76.260548181139214</c:v>
                </c:pt>
                <c:pt idx="152">
                  <c:v>-76.801008584583883</c:v>
                </c:pt>
                <c:pt idx="153">
                  <c:v>-77.383465091188981</c:v>
                </c:pt>
                <c:pt idx="154">
                  <c:v>-78.016698042781272</c:v>
                </c:pt>
                <c:pt idx="155">
                  <c:v>-78.713277836966839</c:v>
                </c:pt>
                <c:pt idx="156">
                  <c:v>-79.492371256554122</c:v>
                </c:pt>
                <c:pt idx="157">
                  <c:v>-80.385979659361382</c:v>
                </c:pt>
                <c:pt idx="158">
                  <c:v>-81.455787307437475</c:v>
                </c:pt>
                <c:pt idx="159">
                  <c:v>-82.857766473786597</c:v>
                </c:pt>
                <c:pt idx="160">
                  <c:v>-85.698845660908376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D39-4440-9FF5-395D9AC8DD4F}"/>
            </c:ext>
          </c:extLst>
        </c:ser>
        <c:ser>
          <c:idx val="3"/>
          <c:order val="3"/>
          <c:tx>
            <c:v>lamda 2</c:v>
          </c:tx>
          <c:spPr>
            <a:ln w="22225" cap="rnd">
              <a:solidFill>
                <a:srgbClr val="FFA1A3"/>
              </a:solidFill>
              <a:prstDash val="solid"/>
              <a:round/>
            </a:ln>
            <a:effectLst/>
          </c:spPr>
          <c:marker>
            <c:symbol val="none"/>
          </c:marker>
          <c:xVal>
            <c:numRef>
              <c:f>'globale Grafik'!$V$8:$V$193</c:f>
              <c:numCache>
                <c:formatCode>0.00</c:formatCode>
                <c:ptCount val="186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-87.021677540772032</c:v>
                </c:pt>
                <c:pt idx="21">
                  <c:v>-90.181219353132349</c:v>
                </c:pt>
                <c:pt idx="22">
                  <c:v>-91.683753834751741</c:v>
                </c:pt>
                <c:pt idx="23">
                  <c:v>-92.824236050716507</c:v>
                </c:pt>
                <c:pt idx="24">
                  <c:v>-93.773001068948531</c:v>
                </c:pt>
                <c:pt idx="25">
                  <c:v>-94.597112084065628</c:v>
                </c:pt>
                <c:pt idx="26">
                  <c:v>-95.331312238173794</c:v>
                </c:pt>
                <c:pt idx="27">
                  <c:v>-95.996404259526869</c:v>
                </c:pt>
                <c:pt idx="28">
                  <c:v>-96.606034911480052</c:v>
                </c:pt>
                <c:pt idx="29">
                  <c:v>-97.16974187276648</c:v>
                </c:pt>
                <c:pt idx="30">
                  <c:v>-97.694509350791463</c:v>
                </c:pt>
                <c:pt idx="31">
                  <c:v>-98.185638413125787</c:v>
                </c:pt>
                <c:pt idx="32">
                  <c:v>-98.647268678057017</c:v>
                </c:pt>
                <c:pt idx="33">
                  <c:v>-99.082708374239672</c:v>
                </c:pt>
                <c:pt idx="34">
                  <c:v>-99.494652448869886</c:v>
                </c:pt>
                <c:pt idx="35">
                  <c:v>-99.885331959822551</c:v>
                </c:pt>
                <c:pt idx="36">
                  <c:v>-100.25661952724205</c:v>
                </c:pt>
                <c:pt idx="37">
                  <c:v>-100.61010570095127</c:v>
                </c:pt>
                <c:pt idx="38">
                  <c:v>-100.94715550080991</c:v>
                </c:pt>
                <c:pt idx="39">
                  <c:v>-101.26895109135263</c:v>
                </c:pt>
                <c:pt idx="40">
                  <c:v>-101.57652454093183</c:v>
                </c:pt>
                <c:pt idx="41">
                  <c:v>-101.87078334934735</c:v>
                </c:pt>
                <c:pt idx="42">
                  <c:v>-102.15253060842319</c:v>
                </c:pt>
                <c:pt idx="43">
                  <c:v>-102.42248111649816</c:v>
                </c:pt>
                <c:pt idx="44">
                  <c:v>-102.68127439942268</c:v>
                </c:pt>
                <c:pt idx="45">
                  <c:v>-102.92948533604883</c:v>
                </c:pt>
                <c:pt idx="46">
                  <c:v>-103.16763290708649</c:v>
                </c:pt>
                <c:pt idx="47">
                  <c:v>-103.39618745816145</c:v>
                </c:pt>
                <c:pt idx="48">
                  <c:v>-103.61557677502879</c:v>
                </c:pt>
                <c:pt idx="49">
                  <c:v>-103.82619120061563</c:v>
                </c:pt>
                <c:pt idx="50">
                  <c:v>-104.0283879727435</c:v>
                </c:pt>
                <c:pt idx="51">
                  <c:v>-104.22249492312265</c:v>
                </c:pt>
                <c:pt idx="52">
                  <c:v>-104.40881364910456</c:v>
                </c:pt>
                <c:pt idx="53">
                  <c:v>-104.58762224731863</c:v>
                </c:pt>
                <c:pt idx="54">
                  <c:v>-104.75917768098547</c:v>
                </c:pt>
                <c:pt idx="55">
                  <c:v>-104.92371783914476</c:v>
                </c:pt>
                <c:pt idx="56">
                  <c:v>-105.08146333535569</c:v>
                </c:pt>
                <c:pt idx="57">
                  <c:v>-105.23261908494689</c:v>
                </c:pt>
                <c:pt idx="58">
                  <c:v>-105.37737569311106</c:v>
                </c:pt>
                <c:pt idx="59">
                  <c:v>-105.51591068068386</c:v>
                </c:pt>
                <c:pt idx="60">
                  <c:v>-105.64838957002456</c:v>
                </c:pt>
                <c:pt idx="61">
                  <c:v>-105.77496684981726</c:v>
                </c:pt>
                <c:pt idx="62">
                  <c:v>-105.89578683465966</c:v>
                </c:pt>
                <c:pt idx="63">
                  <c:v>-106.01098443287927</c:v>
                </c:pt>
                <c:pt idx="64">
                  <c:v>-106.12068583400418</c:v>
                </c:pt>
                <c:pt idx="65">
                  <c:v>-106.22500912564533</c:v>
                </c:pt>
                <c:pt idx="66">
                  <c:v>-106.32406484814743</c:v>
                </c:pt>
                <c:pt idx="67">
                  <c:v>-106.41795649419615</c:v>
                </c:pt>
                <c:pt idx="68">
                  <c:v>-106.50678095957838</c:v>
                </c:pt>
                <c:pt idx="69">
                  <c:v>-106.59062895045781</c:v>
                </c:pt>
                <c:pt idx="70">
                  <c:v>-106.66958535181773</c:v>
                </c:pt>
                <c:pt idx="71">
                  <c:v>-106.74372956111606</c:v>
                </c:pt>
                <c:pt idx="72">
                  <c:v>-106.81313579068055</c:v>
                </c:pt>
                <c:pt idx="73">
                  <c:v>-106.87787334192657</c:v>
                </c:pt>
                <c:pt idx="74">
                  <c:v>-106.93800685409441</c:v>
                </c:pt>
                <c:pt idx="75">
                  <c:v>-106.9935965298729</c:v>
                </c:pt>
                <c:pt idx="76">
                  <c:v>-107.04469833998607</c:v>
                </c:pt>
                <c:pt idx="77">
                  <c:v>-107.09136420856854</c:v>
                </c:pt>
                <c:pt idx="78">
                  <c:v>-107.13364218093558</c:v>
                </c:pt>
                <c:pt idx="79">
                  <c:v>-107.17157657515958</c:v>
                </c:pt>
                <c:pt idx="80">
                  <c:v>-107.20520811869577</c:v>
                </c:pt>
                <c:pt idx="81">
                  <c:v>-107.23457407114687</c:v>
                </c:pt>
                <c:pt idx="82">
                  <c:v>-107.2597083341244</c:v>
                </c:pt>
                <c:pt idx="83">
                  <c:v>-107.28064154904177</c:v>
                </c:pt>
                <c:pt idx="84">
                  <c:v>-107.29740118356803</c:v>
                </c:pt>
                <c:pt idx="85">
                  <c:v>-107.31001160737237</c:v>
                </c:pt>
                <c:pt idx="86">
                  <c:v>-107.3184941577</c:v>
                </c:pt>
                <c:pt idx="87">
                  <c:v>-107.32286719523927</c:v>
                </c:pt>
                <c:pt idx="88">
                  <c:v>-107.32314615066262</c:v>
                </c:pt>
                <c:pt idx="89">
                  <c:v>-107.31934356215464</c:v>
                </c:pt>
                <c:pt idx="90">
                  <c:v>-107.31146910417247</c:v>
                </c:pt>
                <c:pt idx="91">
                  <c:v>-107.29952960762058</c:v>
                </c:pt>
                <c:pt idx="92">
                  <c:v>-107.28352907156045</c:v>
                </c:pt>
                <c:pt idx="93">
                  <c:v>-107.26346866651561</c:v>
                </c:pt>
                <c:pt idx="94">
                  <c:v>-107.23934672937258</c:v>
                </c:pt>
                <c:pt idx="95">
                  <c:v>-107.2111587498197</c:v>
                </c:pt>
                <c:pt idx="96">
                  <c:v>-107.17889734820429</c:v>
                </c:pt>
                <c:pt idx="97">
                  <c:v>-107.14255224462732</c:v>
                </c:pt>
                <c:pt idx="98">
                  <c:v>-107.10211021903037</c:v>
                </c:pt>
                <c:pt idx="99">
                  <c:v>-107.05755506196029</c:v>
                </c:pt>
                <c:pt idx="100">
                  <c:v>-107.00886751562754</c:v>
                </c:pt>
                <c:pt idx="101">
                  <c:v>-106.95602520479332</c:v>
                </c:pt>
                <c:pt idx="102">
                  <c:v>-106.89900255693966</c:v>
                </c:pt>
                <c:pt idx="103">
                  <c:v>-106.83777071108277</c:v>
                </c:pt>
                <c:pt idx="104">
                  <c:v>-106.77229741448994</c:v>
                </c:pt>
                <c:pt idx="105">
                  <c:v>-106.70254690644811</c:v>
                </c:pt>
                <c:pt idx="106">
                  <c:v>-106.62847978810727</c:v>
                </c:pt>
                <c:pt idx="107">
                  <c:v>-106.55005287728224</c:v>
                </c:pt>
                <c:pt idx="108">
                  <c:v>-106.46721904693774</c:v>
                </c:pt>
                <c:pt idx="109">
                  <c:v>-106.37992704590457</c:v>
                </c:pt>
                <c:pt idx="110">
                  <c:v>-106.28812130016979</c:v>
                </c:pt>
                <c:pt idx="111">
                  <c:v>-106.19174169285353</c:v>
                </c:pt>
                <c:pt idx="112">
                  <c:v>-106.09072332071747</c:v>
                </c:pt>
                <c:pt idx="113">
                  <c:v>-105.98499622474526</c:v>
                </c:pt>
                <c:pt idx="114">
                  <c:v>-105.87448509198047</c:v>
                </c:pt>
                <c:pt idx="115">
                  <c:v>-105.75910892539808</c:v>
                </c:pt>
                <c:pt idx="116">
                  <c:v>-105.63878067810781</c:v>
                </c:pt>
                <c:pt idx="117">
                  <c:v>-105.51340684763011</c:v>
                </c:pt>
                <c:pt idx="118">
                  <c:v>-105.38288702533151</c:v>
                </c:pt>
                <c:pt idx="119">
                  <c:v>-105.24711339533647</c:v>
                </c:pt>
                <c:pt idx="120">
                  <c:v>-105.10597017632196</c:v>
                </c:pt>
                <c:pt idx="121">
                  <c:v>-104.95933299852257</c:v>
                </c:pt>
                <c:pt idx="122">
                  <c:v>-104.80706820698579</c:v>
                </c:pt>
                <c:pt idx="123">
                  <c:v>-104.64903208057673</c:v>
                </c:pt>
                <c:pt idx="124">
                  <c:v>-104.48506995437972</c:v>
                </c:pt>
                <c:pt idx="125">
                  <c:v>-104.31501523090425</c:v>
                </c:pt>
                <c:pt idx="126">
                  <c:v>-104.13868826278507</c:v>
                </c:pt>
                <c:pt idx="127">
                  <c:v>-103.95589508634575</c:v>
                </c:pt>
                <c:pt idx="128">
                  <c:v>-103.76642598132133</c:v>
                </c:pt>
                <c:pt idx="129">
                  <c:v>-103.57005382700063</c:v>
                </c:pt>
                <c:pt idx="130">
                  <c:v>-103.3665322187959</c:v>
                </c:pt>
                <c:pt idx="131">
                  <c:v>-103.15559330142348</c:v>
                </c:pt>
                <c:pt idx="132">
                  <c:v>-102.93694526502408</c:v>
                </c:pt>
                <c:pt idx="133">
                  <c:v>-102.71026943804384</c:v>
                </c:pt>
                <c:pt idx="134">
                  <c:v>-102.47521689469832</c:v>
                </c:pt>
                <c:pt idx="135">
                  <c:v>-102.2314044742018</c:v>
                </c:pt>
                <c:pt idx="136">
                  <c:v>-101.97841008207268</c:v>
                </c:pt>
                <c:pt idx="137">
                  <c:v>-101.71576710850024</c:v>
                </c:pt>
                <c:pt idx="138">
                  <c:v>-101.44295775182752</c:v>
                </c:pt>
                <c:pt idx="139">
                  <c:v>-101.15940497214498</c:v>
                </c:pt>
                <c:pt idx="140">
                  <c:v>-100.86446271420387</c:v>
                </c:pt>
                <c:pt idx="141">
                  <c:v>-100.55740392059552</c:v>
                </c:pt>
                <c:pt idx="142">
                  <c:v>-100.23740569069233</c:v>
                </c:pt>
                <c:pt idx="143">
                  <c:v>-99.903530705659307</c:v>
                </c:pt>
                <c:pt idx="144">
                  <c:v>-99.554703699566033</c:v>
                </c:pt>
                <c:pt idx="145">
                  <c:v>-99.189681254602149</c:v>
                </c:pt>
                <c:pt idx="146">
                  <c:v>-98.807012441455271</c:v>
                </c:pt>
                <c:pt idx="147">
                  <c:v>-98.404986656476993</c:v>
                </c:pt>
                <c:pt idx="148">
                  <c:v>-97.981563150213589</c:v>
                </c:pt>
                <c:pt idx="149">
                  <c:v>-97.534273699196433</c:v>
                </c:pt>
                <c:pt idx="150">
                  <c:v>-97.060084705188132</c:v>
                </c:pt>
                <c:pt idx="151">
                  <c:v>-96.555195854948721</c:v>
                </c:pt>
                <c:pt idx="152">
                  <c:v>-96.014735451504038</c:v>
                </c:pt>
                <c:pt idx="153">
                  <c:v>-95.432278944898954</c:v>
                </c:pt>
                <c:pt idx="154">
                  <c:v>-94.799045993306649</c:v>
                </c:pt>
                <c:pt idx="155">
                  <c:v>-94.102466199121082</c:v>
                </c:pt>
                <c:pt idx="156">
                  <c:v>-93.323372779533813</c:v>
                </c:pt>
                <c:pt idx="157">
                  <c:v>-92.429764376726553</c:v>
                </c:pt>
                <c:pt idx="158">
                  <c:v>-91.359956728650459</c:v>
                </c:pt>
                <c:pt idx="159">
                  <c:v>-89.957977562301323</c:v>
                </c:pt>
                <c:pt idx="160">
                  <c:v>-87.116898375179559</c:v>
                </c:pt>
                <c:pt idx="161">
                  <c:v>#N/A</c:v>
                </c:pt>
                <c:pt idx="162">
                  <c:v>#N/A</c:v>
                </c:pt>
                <c:pt idx="163">
                  <c:v>#N/A</c:v>
                </c:pt>
                <c:pt idx="164">
                  <c:v>#N/A</c:v>
                </c:pt>
                <c:pt idx="165">
                  <c:v>#N/A</c:v>
                </c:pt>
                <c:pt idx="166">
                  <c:v>#N/A</c:v>
                </c:pt>
                <c:pt idx="167">
                  <c:v>#N/A</c:v>
                </c:pt>
                <c:pt idx="168">
                  <c:v>#N/A</c:v>
                </c:pt>
                <c:pt idx="169">
                  <c:v>#N/A</c:v>
                </c:pt>
                <c:pt idx="170">
                  <c:v>#N/A</c:v>
                </c:pt>
                <c:pt idx="171">
                  <c:v>#N/A</c:v>
                </c:pt>
                <c:pt idx="172">
                  <c:v>#N/A</c:v>
                </c:pt>
                <c:pt idx="173">
                  <c:v>#N/A</c:v>
                </c:pt>
                <c:pt idx="174">
                  <c:v>#N/A</c:v>
                </c:pt>
                <c:pt idx="175">
                  <c:v>#N/A</c:v>
                </c:pt>
                <c:pt idx="176">
                  <c:v>#N/A</c:v>
                </c:pt>
                <c:pt idx="177">
                  <c:v>#N/A</c:v>
                </c:pt>
                <c:pt idx="178">
                  <c:v>#N/A</c:v>
                </c:pt>
                <c:pt idx="179">
                  <c:v>#N/A</c:v>
                </c:pt>
                <c:pt idx="180">
                  <c:v>#N/A</c:v>
                </c:pt>
                <c:pt idx="181">
                  <c:v>#N/A</c:v>
                </c:pt>
                <c:pt idx="182">
                  <c:v>#N/A</c:v>
                </c:pt>
                <c:pt idx="183">
                  <c:v>#N/A</c:v>
                </c:pt>
                <c:pt idx="184">
                  <c:v>#N/A</c:v>
                </c:pt>
                <c:pt idx="185">
                  <c:v>#N/A</c:v>
                </c:pt>
              </c:numCache>
            </c:numRef>
          </c:xVal>
          <c:yVal>
            <c:numRef>
              <c:f>'globale Grafik'!$M$8:$M$193</c:f>
              <c:numCache>
                <c:formatCode>0.00\°;[Red]0.00\°</c:formatCode>
                <c:ptCount val="186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D39-4440-9FF5-395D9AC8DD4F}"/>
            </c:ext>
          </c:extLst>
        </c:ser>
        <c:ser>
          <c:idx val="4"/>
          <c:order val="4"/>
          <c:tx>
            <c:v>pos</c:v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Pt>
            <c:idx val="186"/>
            <c:marker>
              <c:symbol val="circle"/>
              <c:size val="9"/>
              <c:spPr>
                <a:noFill/>
                <a:ln w="9525">
                  <a:solidFill>
                    <a:schemeClr val="tx1"/>
                  </a:solidFill>
                </a:ln>
                <a:effectLst/>
              </c:spPr>
            </c:marker>
            <c:bubble3D val="0"/>
            <c:spPr>
              <a:ln w="19050" cap="rnd">
                <a:solidFill>
                  <a:schemeClr val="tx1"/>
                </a:solidFill>
                <a:round/>
              </a:ln>
              <a:effectLst/>
            </c:spPr>
            <c:extLst>
              <c:ext xmlns:c16="http://schemas.microsoft.com/office/drawing/2014/chart" uri="{C3380CC4-5D6E-409C-BE32-E72D297353CC}">
                <c16:uniqueId val="{00000002-266B-984A-9427-8888F6823915}"/>
              </c:ext>
            </c:extLst>
          </c:dPt>
          <c:dLbls>
            <c:dLbl>
              <c:idx val="186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1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1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Position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1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66B-984A-9427-8888F682391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'globale Grafik'!$X$8:$X$194</c:f>
              <c:numCache>
                <c:formatCode>0.00</c:formatCode>
                <c:ptCount val="187"/>
                <c:pt idx="186">
                  <c:v>-69.726008452265447</c:v>
                </c:pt>
              </c:numCache>
            </c:numRef>
          </c:xVal>
          <c:yVal>
            <c:numRef>
              <c:f>'globale Grafik'!$M$8:$M$194</c:f>
              <c:numCache>
                <c:formatCode>0.00\°;[Red]0.00\°</c:formatCode>
                <c:ptCount val="187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  <c:pt idx="186">
                  <c:v>23.41377793669697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66B-984A-9427-8888F6823915}"/>
            </c:ext>
          </c:extLst>
        </c:ser>
        <c:ser>
          <c:idx val="5"/>
          <c:order val="5"/>
          <c:tx>
            <c:v>sun</c:v>
          </c:tx>
          <c:spPr>
            <a:ln w="19050" cap="rnd">
              <a:noFill/>
              <a:round/>
            </a:ln>
            <a:effectLst/>
          </c:spPr>
          <c:marker>
            <c:symbol val="none"/>
          </c:marker>
          <c:dPt>
            <c:idx val="187"/>
            <c:marker>
              <c:symbol val="circle"/>
              <c:size val="10"/>
              <c:spPr>
                <a:solidFill>
                  <a:srgbClr val="FFF803"/>
                </a:solidFill>
                <a:ln w="0">
                  <a:solidFill>
                    <a:srgbClr val="00B05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4-16B5-A94A-9BEA-36F714C62772}"/>
              </c:ext>
            </c:extLst>
          </c:dPt>
          <c:dPt>
            <c:idx val="188"/>
            <c:marker>
              <c:symbol val="circle"/>
              <c:size val="10"/>
              <c:spPr>
                <a:solidFill>
                  <a:srgbClr val="FFFF00"/>
                </a:solidFill>
                <a:ln w="0">
                  <a:solidFill>
                    <a:srgbClr val="FF0000"/>
                  </a:solidFill>
                </a:ln>
                <a:effectLst/>
              </c:spPr>
            </c:marker>
            <c:bubble3D val="0"/>
            <c:extLst>
              <c:ext xmlns:c16="http://schemas.microsoft.com/office/drawing/2014/chart" uri="{C3380CC4-5D6E-409C-BE32-E72D297353CC}">
                <c16:uniqueId val="{00000003-16B5-A94A-9BEA-36F714C62772}"/>
              </c:ext>
            </c:extLst>
          </c:dPt>
          <c:xVal>
            <c:numRef>
              <c:f>'globale Grafik'!$Y$8:$Y$196</c:f>
              <c:numCache>
                <c:formatCode>0.00</c:formatCode>
                <c:ptCount val="189"/>
                <c:pt idx="187" formatCode="0.00_ ;[Red]\-0.00\ ">
                  <c:v>-45.868021028808322</c:v>
                </c:pt>
                <c:pt idx="188" formatCode="0.00_ ;[Red]\-0.00\ ">
                  <c:v>-86.40787201804396</c:v>
                </c:pt>
              </c:numCache>
            </c:numRef>
          </c:xVal>
          <c:yVal>
            <c:numRef>
              <c:f>'globale Grafik'!$M$8:$M$196</c:f>
              <c:numCache>
                <c:formatCode>0.00\°;[Red]0.00\°</c:formatCode>
                <c:ptCount val="189"/>
                <c:pt idx="0">
                  <c:v>36.297845432992425</c:v>
                </c:pt>
                <c:pt idx="1">
                  <c:v>36.297845432992425</c:v>
                </c:pt>
                <c:pt idx="2">
                  <c:v>36.231300520419303</c:v>
                </c:pt>
                <c:pt idx="3">
                  <c:v>35.937780753280173</c:v>
                </c:pt>
                <c:pt idx="4">
                  <c:v>35.644260986141042</c:v>
                </c:pt>
                <c:pt idx="5">
                  <c:v>35.350741219001911</c:v>
                </c:pt>
                <c:pt idx="6">
                  <c:v>35.05722145186278</c:v>
                </c:pt>
                <c:pt idx="7">
                  <c:v>34.76370168472365</c:v>
                </c:pt>
                <c:pt idx="8">
                  <c:v>34.470181917584519</c:v>
                </c:pt>
                <c:pt idx="9">
                  <c:v>34.176662150445388</c:v>
                </c:pt>
                <c:pt idx="10">
                  <c:v>33.883142383306257</c:v>
                </c:pt>
                <c:pt idx="11">
                  <c:v>33.589622616167127</c:v>
                </c:pt>
                <c:pt idx="12">
                  <c:v>33.296102849027996</c:v>
                </c:pt>
                <c:pt idx="13">
                  <c:v>33.002583081888865</c:v>
                </c:pt>
                <c:pt idx="14">
                  <c:v>32.709063314749734</c:v>
                </c:pt>
                <c:pt idx="15">
                  <c:v>32.415543547610604</c:v>
                </c:pt>
                <c:pt idx="16">
                  <c:v>32.122023780471473</c:v>
                </c:pt>
                <c:pt idx="17">
                  <c:v>31.828504013332342</c:v>
                </c:pt>
                <c:pt idx="18">
                  <c:v>31.534984246193211</c:v>
                </c:pt>
                <c:pt idx="19">
                  <c:v>31.241464479054081</c:v>
                </c:pt>
                <c:pt idx="20">
                  <c:v>30.94794471191495</c:v>
                </c:pt>
                <c:pt idx="21">
                  <c:v>30.654424944775819</c:v>
                </c:pt>
                <c:pt idx="22">
                  <c:v>30.360905177636688</c:v>
                </c:pt>
                <c:pt idx="23">
                  <c:v>30.067385410497558</c:v>
                </c:pt>
                <c:pt idx="24">
                  <c:v>29.773865643358427</c:v>
                </c:pt>
                <c:pt idx="25">
                  <c:v>29.480345876219296</c:v>
                </c:pt>
                <c:pt idx="26">
                  <c:v>29.186826109080165</c:v>
                </c:pt>
                <c:pt idx="27">
                  <c:v>28.893306341941035</c:v>
                </c:pt>
                <c:pt idx="28">
                  <c:v>28.599786574801904</c:v>
                </c:pt>
                <c:pt idx="29">
                  <c:v>28.306266807662773</c:v>
                </c:pt>
                <c:pt idx="30">
                  <c:v>28.012747040523642</c:v>
                </c:pt>
                <c:pt idx="31">
                  <c:v>27.719227273384512</c:v>
                </c:pt>
                <c:pt idx="32">
                  <c:v>27.425707506245381</c:v>
                </c:pt>
                <c:pt idx="33">
                  <c:v>27.13218773910625</c:v>
                </c:pt>
                <c:pt idx="34">
                  <c:v>26.838667971967119</c:v>
                </c:pt>
                <c:pt idx="35">
                  <c:v>26.545148204827989</c:v>
                </c:pt>
                <c:pt idx="36">
                  <c:v>26.251628437688858</c:v>
                </c:pt>
                <c:pt idx="37">
                  <c:v>25.958108670549727</c:v>
                </c:pt>
                <c:pt idx="38">
                  <c:v>25.664588903410596</c:v>
                </c:pt>
                <c:pt idx="39">
                  <c:v>25.371069136271466</c:v>
                </c:pt>
                <c:pt idx="40">
                  <c:v>25.077549369132335</c:v>
                </c:pt>
                <c:pt idx="41">
                  <c:v>24.784029601993204</c:v>
                </c:pt>
                <c:pt idx="42">
                  <c:v>24.490509834854073</c:v>
                </c:pt>
                <c:pt idx="43">
                  <c:v>24.196990067714943</c:v>
                </c:pt>
                <c:pt idx="44">
                  <c:v>23.903470300575812</c:v>
                </c:pt>
                <c:pt idx="45">
                  <c:v>23.609950533436681</c:v>
                </c:pt>
                <c:pt idx="46">
                  <c:v>23.31643076629755</c:v>
                </c:pt>
                <c:pt idx="47">
                  <c:v>23.02291099915842</c:v>
                </c:pt>
                <c:pt idx="48">
                  <c:v>22.729391232019289</c:v>
                </c:pt>
                <c:pt idx="49">
                  <c:v>22.435871464880158</c:v>
                </c:pt>
                <c:pt idx="50">
                  <c:v>22.142351697741027</c:v>
                </c:pt>
                <c:pt idx="51">
                  <c:v>21.848831930601897</c:v>
                </c:pt>
                <c:pt idx="52">
                  <c:v>21.555312163462766</c:v>
                </c:pt>
                <c:pt idx="53">
                  <c:v>21.261792396323635</c:v>
                </c:pt>
                <c:pt idx="54">
                  <c:v>20.968272629184504</c:v>
                </c:pt>
                <c:pt idx="55">
                  <c:v>20.674752862045374</c:v>
                </c:pt>
                <c:pt idx="56">
                  <c:v>20.381233094906243</c:v>
                </c:pt>
                <c:pt idx="57">
                  <c:v>20.087713327767112</c:v>
                </c:pt>
                <c:pt idx="58">
                  <c:v>19.794193560627981</c:v>
                </c:pt>
                <c:pt idx="59">
                  <c:v>19.500673793488851</c:v>
                </c:pt>
                <c:pt idx="60">
                  <c:v>19.20715402634972</c:v>
                </c:pt>
                <c:pt idx="61">
                  <c:v>18.913634259210589</c:v>
                </c:pt>
                <c:pt idx="62">
                  <c:v>18.620114492071458</c:v>
                </c:pt>
                <c:pt idx="63">
                  <c:v>18.326594724932328</c:v>
                </c:pt>
                <c:pt idx="64">
                  <c:v>18.033074957793197</c:v>
                </c:pt>
                <c:pt idx="65">
                  <c:v>17.739555190654066</c:v>
                </c:pt>
                <c:pt idx="66">
                  <c:v>17.446035423514935</c:v>
                </c:pt>
                <c:pt idx="67">
                  <c:v>17.152515656375805</c:v>
                </c:pt>
                <c:pt idx="68">
                  <c:v>16.858995889236674</c:v>
                </c:pt>
                <c:pt idx="69">
                  <c:v>16.565476122097543</c:v>
                </c:pt>
                <c:pt idx="70">
                  <c:v>16.271956354958412</c:v>
                </c:pt>
                <c:pt idx="71">
                  <c:v>15.978436587819282</c:v>
                </c:pt>
                <c:pt idx="72">
                  <c:v>15.684916820680151</c:v>
                </c:pt>
                <c:pt idx="73">
                  <c:v>15.39139705354102</c:v>
                </c:pt>
                <c:pt idx="74">
                  <c:v>15.097877286401889</c:v>
                </c:pt>
                <c:pt idx="75">
                  <c:v>14.804357519262759</c:v>
                </c:pt>
                <c:pt idx="76">
                  <c:v>14.510837752123628</c:v>
                </c:pt>
                <c:pt idx="77">
                  <c:v>14.217317984984497</c:v>
                </c:pt>
                <c:pt idx="78">
                  <c:v>13.923798217845366</c:v>
                </c:pt>
                <c:pt idx="79">
                  <c:v>13.630278450706236</c:v>
                </c:pt>
                <c:pt idx="80">
                  <c:v>13.336758683567105</c:v>
                </c:pt>
                <c:pt idx="81">
                  <c:v>13.043238916427974</c:v>
                </c:pt>
                <c:pt idx="82">
                  <c:v>12.749719149288843</c:v>
                </c:pt>
                <c:pt idx="83">
                  <c:v>12.456199382149713</c:v>
                </c:pt>
                <c:pt idx="84">
                  <c:v>12.162679615010582</c:v>
                </c:pt>
                <c:pt idx="85">
                  <c:v>11.869159847871451</c:v>
                </c:pt>
                <c:pt idx="86">
                  <c:v>11.57564008073232</c:v>
                </c:pt>
                <c:pt idx="87">
                  <c:v>11.28212031359319</c:v>
                </c:pt>
                <c:pt idx="88">
                  <c:v>10.988600546454059</c:v>
                </c:pt>
                <c:pt idx="89">
                  <c:v>10.695080779314928</c:v>
                </c:pt>
                <c:pt idx="90">
                  <c:v>10.401561012175797</c:v>
                </c:pt>
                <c:pt idx="91">
                  <c:v>10.108041245036667</c:v>
                </c:pt>
                <c:pt idx="92">
                  <c:v>9.8145214778975358</c:v>
                </c:pt>
                <c:pt idx="93">
                  <c:v>9.5210017107584051</c:v>
                </c:pt>
                <c:pt idx="94">
                  <c:v>9.2274819436192743</c:v>
                </c:pt>
                <c:pt idx="95">
                  <c:v>8.9339621764801436</c:v>
                </c:pt>
                <c:pt idx="96">
                  <c:v>8.6404424093410128</c:v>
                </c:pt>
                <c:pt idx="97">
                  <c:v>8.3469226422018821</c:v>
                </c:pt>
                <c:pt idx="98">
                  <c:v>8.0534028750627513</c:v>
                </c:pt>
                <c:pt idx="99">
                  <c:v>7.7598831079236197</c:v>
                </c:pt>
                <c:pt idx="100">
                  <c:v>7.466363340784488</c:v>
                </c:pt>
                <c:pt idx="101">
                  <c:v>7.1728435736453564</c:v>
                </c:pt>
                <c:pt idx="102">
                  <c:v>6.8793238065062248</c:v>
                </c:pt>
                <c:pt idx="103">
                  <c:v>6.5858040393670931</c:v>
                </c:pt>
                <c:pt idx="104">
                  <c:v>6.2922842722279615</c:v>
                </c:pt>
                <c:pt idx="105">
                  <c:v>5.9987645050888299</c:v>
                </c:pt>
                <c:pt idx="106">
                  <c:v>5.7052447379496982</c:v>
                </c:pt>
                <c:pt idx="107">
                  <c:v>5.4117249708105666</c:v>
                </c:pt>
                <c:pt idx="108">
                  <c:v>5.1182052036714349</c:v>
                </c:pt>
                <c:pt idx="109">
                  <c:v>4.8246854365323033</c:v>
                </c:pt>
                <c:pt idx="110">
                  <c:v>4.5311656693931717</c:v>
                </c:pt>
                <c:pt idx="111">
                  <c:v>4.23764590225404</c:v>
                </c:pt>
                <c:pt idx="112">
                  <c:v>3.9441261351149084</c:v>
                </c:pt>
                <c:pt idx="113">
                  <c:v>3.6506063679757768</c:v>
                </c:pt>
                <c:pt idx="114">
                  <c:v>3.3570866008366451</c:v>
                </c:pt>
                <c:pt idx="115">
                  <c:v>3.0635668336975135</c:v>
                </c:pt>
                <c:pt idx="116">
                  <c:v>2.7700470665583818</c:v>
                </c:pt>
                <c:pt idx="117">
                  <c:v>2.4765272994192502</c:v>
                </c:pt>
                <c:pt idx="118">
                  <c:v>2.1830075322801186</c:v>
                </c:pt>
                <c:pt idx="119">
                  <c:v>1.8894877651409872</c:v>
                </c:pt>
                <c:pt idx="120">
                  <c:v>1.5959679980018557</c:v>
                </c:pt>
                <c:pt idx="121">
                  <c:v>1.3024482308627243</c:v>
                </c:pt>
                <c:pt idx="122">
                  <c:v>1.0089284637235929</c:v>
                </c:pt>
                <c:pt idx="123">
                  <c:v>0.71540869658446149</c:v>
                </c:pt>
                <c:pt idx="124">
                  <c:v>0.42188892944533007</c:v>
                </c:pt>
                <c:pt idx="125">
                  <c:v>0.12836916230619866</c:v>
                </c:pt>
                <c:pt idx="126">
                  <c:v>-0.16515060483293276</c:v>
                </c:pt>
                <c:pt idx="127">
                  <c:v>-0.45867037197206417</c:v>
                </c:pt>
                <c:pt idx="128">
                  <c:v>-0.75219013911119559</c:v>
                </c:pt>
                <c:pt idx="129">
                  <c:v>-1.045709906250327</c:v>
                </c:pt>
                <c:pt idx="130">
                  <c:v>-1.3392296733894584</c:v>
                </c:pt>
                <c:pt idx="131">
                  <c:v>-1.6327494405285898</c:v>
                </c:pt>
                <c:pt idx="132">
                  <c:v>-1.9262692076677213</c:v>
                </c:pt>
                <c:pt idx="133">
                  <c:v>-2.2197889748068524</c:v>
                </c:pt>
                <c:pt idx="134">
                  <c:v>-2.5133087419459841</c:v>
                </c:pt>
                <c:pt idx="135">
                  <c:v>-2.8068285090851157</c:v>
                </c:pt>
                <c:pt idx="136">
                  <c:v>-3.1003482762242474</c:v>
                </c:pt>
                <c:pt idx="137">
                  <c:v>-3.393868043363379</c:v>
                </c:pt>
                <c:pt idx="138">
                  <c:v>-3.6873878105025106</c:v>
                </c:pt>
                <c:pt idx="139">
                  <c:v>-3.9809075776416423</c:v>
                </c:pt>
                <c:pt idx="140">
                  <c:v>-4.2744273447807739</c:v>
                </c:pt>
                <c:pt idx="141">
                  <c:v>-4.5679471119199055</c:v>
                </c:pt>
                <c:pt idx="142">
                  <c:v>-4.8614668790590372</c:v>
                </c:pt>
                <c:pt idx="143">
                  <c:v>-5.1549866461981688</c:v>
                </c:pt>
                <c:pt idx="144">
                  <c:v>-5.4485064133373005</c:v>
                </c:pt>
                <c:pt idx="145">
                  <c:v>-5.7420261804764321</c:v>
                </c:pt>
                <c:pt idx="146">
                  <c:v>-6.0355459476155637</c:v>
                </c:pt>
                <c:pt idx="147">
                  <c:v>-6.3290657147546954</c:v>
                </c:pt>
                <c:pt idx="148">
                  <c:v>-6.622585481893827</c:v>
                </c:pt>
                <c:pt idx="149">
                  <c:v>-6.9161052490329586</c:v>
                </c:pt>
                <c:pt idx="150">
                  <c:v>-7.2096250161720903</c:v>
                </c:pt>
                <c:pt idx="151">
                  <c:v>-7.5031447833112219</c:v>
                </c:pt>
                <c:pt idx="152">
                  <c:v>-7.7966645504503536</c:v>
                </c:pt>
                <c:pt idx="153">
                  <c:v>-8.0901843175894843</c:v>
                </c:pt>
                <c:pt idx="154">
                  <c:v>-8.3837040847286151</c:v>
                </c:pt>
                <c:pt idx="155">
                  <c:v>-8.6772238518677458</c:v>
                </c:pt>
                <c:pt idx="156">
                  <c:v>-8.9707436190068766</c:v>
                </c:pt>
                <c:pt idx="157">
                  <c:v>-9.2642633861460073</c:v>
                </c:pt>
                <c:pt idx="158">
                  <c:v>-9.5577831532851381</c:v>
                </c:pt>
                <c:pt idx="159">
                  <c:v>-9.8513029204242688</c:v>
                </c:pt>
                <c:pt idx="160">
                  <c:v>-10.1448226875634</c:v>
                </c:pt>
                <c:pt idx="161">
                  <c:v>-10.43834245470253</c:v>
                </c:pt>
                <c:pt idx="162">
                  <c:v>-10.731862221841661</c:v>
                </c:pt>
                <c:pt idx="163">
                  <c:v>-11.025381988980792</c:v>
                </c:pt>
                <c:pt idx="164">
                  <c:v>-11.318901756119923</c:v>
                </c:pt>
                <c:pt idx="165">
                  <c:v>-11.612421523259053</c:v>
                </c:pt>
                <c:pt idx="166">
                  <c:v>-11.905941290398184</c:v>
                </c:pt>
                <c:pt idx="167">
                  <c:v>-12.199461057537315</c:v>
                </c:pt>
                <c:pt idx="168">
                  <c:v>-12.492980824676446</c:v>
                </c:pt>
                <c:pt idx="169">
                  <c:v>-12.786500591815576</c:v>
                </c:pt>
                <c:pt idx="170">
                  <c:v>-13.080020358954707</c:v>
                </c:pt>
                <c:pt idx="171">
                  <c:v>-13.373540126093838</c:v>
                </c:pt>
                <c:pt idx="172">
                  <c:v>-13.667059893232969</c:v>
                </c:pt>
                <c:pt idx="173">
                  <c:v>-13.960579660372099</c:v>
                </c:pt>
                <c:pt idx="174">
                  <c:v>-14.25409942751123</c:v>
                </c:pt>
                <c:pt idx="175">
                  <c:v>-14.547619194650361</c:v>
                </c:pt>
                <c:pt idx="176">
                  <c:v>-14.841138961789492</c:v>
                </c:pt>
                <c:pt idx="177">
                  <c:v>-15.134658728928622</c:v>
                </c:pt>
                <c:pt idx="178">
                  <c:v>-15.428178496067753</c:v>
                </c:pt>
                <c:pt idx="179">
                  <c:v>-15.578339197041794</c:v>
                </c:pt>
                <c:pt idx="180">
                  <c:v>-15.578339197041794</c:v>
                </c:pt>
                <c:pt idx="181">
                  <c:v>-15.578339197041794</c:v>
                </c:pt>
                <c:pt idx="182">
                  <c:v>-15.578339197041794</c:v>
                </c:pt>
                <c:pt idx="183">
                  <c:v>-15.578339197041794</c:v>
                </c:pt>
                <c:pt idx="184">
                  <c:v>-15.578339197041794</c:v>
                </c:pt>
                <c:pt idx="185">
                  <c:v>-15.578339197041794</c:v>
                </c:pt>
                <c:pt idx="186">
                  <c:v>23.41377793669697</c:v>
                </c:pt>
                <c:pt idx="187" formatCode="0.00_ ;[Red]\-0.00\ ">
                  <c:v>10.359753117975313</c:v>
                </c:pt>
                <c:pt idx="188" formatCode="0.00_ ;[Red]\-0.00\ ">
                  <c:v>10.399461012175736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16B5-A94A-9BEA-36F714C627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19597184"/>
        <c:axId val="-1219542448"/>
      </c:scatterChart>
      <c:valAx>
        <c:axId val="-1219597184"/>
        <c:scaling>
          <c:orientation val="minMax"/>
          <c:max val="180"/>
          <c:min val="-18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42448"/>
        <c:crosses val="autoZero"/>
        <c:crossBetween val="midCat"/>
        <c:majorUnit val="90"/>
        <c:minorUnit val="10"/>
      </c:valAx>
      <c:valAx>
        <c:axId val="-1219542448"/>
        <c:scaling>
          <c:orientation val="minMax"/>
          <c:max val="90"/>
          <c:min val="-90"/>
        </c:scaling>
        <c:delete val="0"/>
        <c:axPos val="l"/>
        <c:majorGridlines>
          <c:spPr>
            <a:ln w="9525" cap="flat" cmpd="sng" algn="ctr">
              <a:solidFill>
                <a:schemeClr val="bg2"/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\°_ ;[Red]\-0\°\ " sourceLinked="0"/>
        <c:majorTickMark val="none"/>
        <c:minorTickMark val="none"/>
        <c:tickLblPos val="low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de-DE"/>
          </a:p>
        </c:txPr>
        <c:crossAx val="-1219597184"/>
        <c:crosses val="autoZero"/>
        <c:crossBetween val="midCat"/>
        <c:majorUnit val="30"/>
        <c:minorUnit val="10"/>
      </c:valAx>
      <c:spPr>
        <a:noFill/>
        <a:ln>
          <a:solidFill>
            <a:schemeClr val="bg2">
              <a:lumMod val="90000"/>
            </a:schemeClr>
          </a:solidFill>
        </a:ln>
        <a:effectLst/>
      </c:spPr>
    </c:plotArea>
    <c:plotVisOnly val="0"/>
    <c:dispBlanksAs val="span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rgbClr val="C00000"/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38</xdr:row>
      <xdr:rowOff>0</xdr:rowOff>
    </xdr:from>
    <xdr:to>
      <xdr:col>8</xdr:col>
      <xdr:colOff>0</xdr:colOff>
      <xdr:row>57</xdr:row>
      <xdr:rowOff>25400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A63F015-7B30-BE48-A546-2D9B03B666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317500</xdr:colOff>
      <xdr:row>38</xdr:row>
      <xdr:rowOff>12700</xdr:rowOff>
    </xdr:from>
    <xdr:to>
      <xdr:col>16</xdr:col>
      <xdr:colOff>0</xdr:colOff>
      <xdr:row>63</xdr:row>
      <xdr:rowOff>165100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AE6A0E68-3AA7-0440-91E6-96E74C4464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5</xdr:col>
      <xdr:colOff>381000</xdr:colOff>
      <xdr:row>1</xdr:row>
      <xdr:rowOff>63500</xdr:rowOff>
    </xdr:from>
    <xdr:to>
      <xdr:col>7</xdr:col>
      <xdr:colOff>493825</xdr:colOff>
      <xdr:row>4</xdr:row>
      <xdr:rowOff>88900</xdr:rowOff>
    </xdr:to>
    <xdr:pic>
      <xdr:nvPicPr>
        <xdr:cNvPr id="6" name="Grafik 5">
          <a:extLst>
            <a:ext uri="{FF2B5EF4-FFF2-40B4-BE49-F238E27FC236}">
              <a16:creationId xmlns:a16="http://schemas.microsoft.com/office/drawing/2014/main" id="{CA7B08F1-3110-6A43-8553-DD309287C3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165600" y="266700"/>
          <a:ext cx="1306625" cy="914400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881082" y="447741"/>
          <a:ext cx="1434787" cy="49051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0.87666</cdr:x>
      <cdr:y>0.41058</cdr:y>
    </cdr:from>
    <cdr:to>
      <cdr:x>0.93113</cdr:x>
      <cdr:y>0.47471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609293" y="1595605"/>
          <a:ext cx="286392" cy="24922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0.47896</cdr:x>
      <cdr:y>0.03727</cdr:y>
    </cdr:from>
    <cdr:to>
      <cdr:x>0.57772</cdr:x>
      <cdr:y>0.08504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2518252" y="144839"/>
          <a:ext cx="519260" cy="18564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0.09466</cdr:x>
      <cdr:y>0.41387</cdr:y>
    </cdr:from>
    <cdr:to>
      <cdr:x>0.19343</cdr:x>
      <cdr:y>0.46164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97723" y="1608398"/>
          <a:ext cx="519313" cy="18564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0.49426</cdr:x>
      <cdr:y>0.87234</cdr:y>
    </cdr:from>
    <cdr:to>
      <cdr:x>0.59302</cdr:x>
      <cdr:y>0.92959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2598706" y="3390089"/>
          <a:ext cx="519260" cy="22248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0.15031</cdr:x>
      <cdr:y>0.4456</cdr:y>
    </cdr:from>
    <cdr:to>
      <cdr:x>0.32753</cdr:x>
      <cdr:y>0.48264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943022" y="2263648"/>
          <a:ext cx="1111843" cy="1881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0.09179</cdr:x>
      <cdr:y>0.49917</cdr:y>
    </cdr:from>
    <cdr:to>
      <cdr:x>0.95411</cdr:x>
      <cdr:y>0.49917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482600" y="1939859"/>
          <a:ext cx="4533900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12700</xdr:colOff>
      <xdr:row>6</xdr:row>
      <xdr:rowOff>0</xdr:rowOff>
    </xdr:from>
    <xdr:to>
      <xdr:col>8</xdr:col>
      <xdr:colOff>0</xdr:colOff>
      <xdr:row>33</xdr:row>
      <xdr:rowOff>12700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EB4F5AAF-3A85-3C4E-A6E4-FED0AF842D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0.49929</cdr:x>
      <cdr:y>0.86687</cdr:y>
    </cdr:from>
    <cdr:to>
      <cdr:x>0.59805</cdr:x>
      <cdr:y>0.92658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AF1CB92-EADE-AA44-AC95-56E197A65996}"/>
            </a:ext>
          </a:extLst>
        </cdr:cNvPr>
        <cdr:cNvSpPr txBox="1"/>
      </cdr:nvSpPr>
      <cdr:spPr>
        <a:xfrm xmlns:a="http://schemas.openxmlformats.org/drawingml/2006/main">
          <a:off x="2739331" y="4755973"/>
          <a:ext cx="541837" cy="32759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0.49071</cdr:x>
      <cdr:y>0.03082</cdr:y>
    </cdr:from>
    <cdr:to>
      <cdr:x>0.58947</cdr:x>
      <cdr:y>0.09054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2692258" y="169109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0.87043</cdr:x>
      <cdr:y>0.42537</cdr:y>
    </cdr:from>
    <cdr:to>
      <cdr:x>0.96919</cdr:x>
      <cdr:y>0.48509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4775519" y="2333738"/>
          <a:ext cx="541837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0.12277</cdr:x>
      <cdr:y>0.42791</cdr:y>
    </cdr:from>
    <cdr:to>
      <cdr:x>0.22153</cdr:x>
      <cdr:y>0.48763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738E45C9-B192-1F4D-90FE-C44F6EAC77EF}"/>
            </a:ext>
          </a:extLst>
        </cdr:cNvPr>
        <cdr:cNvSpPr txBox="1"/>
      </cdr:nvSpPr>
      <cdr:spPr>
        <a:xfrm xmlns:a="http://schemas.openxmlformats.org/drawingml/2006/main">
          <a:off x="673584" y="2347669"/>
          <a:ext cx="541836" cy="32764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</c:userShapes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215900</xdr:colOff>
      <xdr:row>2</xdr:row>
      <xdr:rowOff>127000</xdr:rowOff>
    </xdr:from>
    <xdr:to>
      <xdr:col>10</xdr:col>
      <xdr:colOff>723900</xdr:colOff>
      <xdr:row>27</xdr:row>
      <xdr:rowOff>101600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41BCAB90-EC4B-6848-996B-A9004E778B5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0.08039</cdr:x>
      <cdr:y>0.08218</cdr:y>
    </cdr:from>
    <cdr:to>
      <cdr:x>0.2113</cdr:x>
      <cdr:y>0.17221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4144687D-8649-3B49-828A-22AD30704366}"/>
            </a:ext>
          </a:extLst>
        </cdr:cNvPr>
        <cdr:cNvSpPr txBox="1"/>
      </cdr:nvSpPr>
      <cdr:spPr>
        <a:xfrm xmlns:a="http://schemas.openxmlformats.org/drawingml/2006/main">
          <a:off x="431863" y="446462"/>
          <a:ext cx="703262" cy="4890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de-DE" sz="1100"/>
        </a:p>
      </cdr:txBody>
    </cdr:sp>
  </cdr:relSizeAnchor>
  <cdr:relSizeAnchor xmlns:cdr="http://schemas.openxmlformats.org/drawingml/2006/chartDrawing">
    <cdr:from>
      <cdr:x>0.88851</cdr:x>
      <cdr:y>0.42974</cdr:y>
    </cdr:from>
    <cdr:to>
      <cdr:x>0.98727</cdr:x>
      <cdr:y>0.47751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176667" y="2226754"/>
          <a:ext cx="797705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0.49355</cdr:x>
      <cdr:y>0.03261</cdr:y>
    </cdr:from>
    <cdr:to>
      <cdr:x>0.59231</cdr:x>
      <cdr:y>0.08038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4099303" y="168972"/>
          <a:ext cx="820281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0.09205</cdr:x>
      <cdr:y>0.42963</cdr:y>
    </cdr:from>
    <cdr:to>
      <cdr:x>0.19081</cdr:x>
      <cdr:y>0.4774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65613A8A-A191-5244-B362-ACBECB4E4839}"/>
            </a:ext>
          </a:extLst>
        </cdr:cNvPr>
        <cdr:cNvSpPr txBox="1"/>
      </cdr:nvSpPr>
      <cdr:spPr>
        <a:xfrm xmlns:a="http://schemas.openxmlformats.org/drawingml/2006/main">
          <a:off x="743469" y="2226184"/>
          <a:ext cx="797704" cy="24752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0.50281</cdr:x>
      <cdr:y>0.89102</cdr:y>
    </cdr:from>
    <cdr:to>
      <cdr:x>0.60157</cdr:x>
      <cdr:y>0.94827</cdr:y>
    </cdr:to>
    <cdr:sp macro="" textlink="">
      <cdr:nvSpPr>
        <cdr:cNvPr id="7" name="Textfeld 1">
          <a:extLst xmlns:a="http://schemas.openxmlformats.org/drawingml/2006/main">
            <a:ext uri="{FF2B5EF4-FFF2-40B4-BE49-F238E27FC236}">
              <a16:creationId xmlns:a16="http://schemas.microsoft.com/office/drawing/2014/main" id="{7181EBBA-D852-7B44-B361-30207C8D50F8}"/>
            </a:ext>
          </a:extLst>
        </cdr:cNvPr>
        <cdr:cNvSpPr txBox="1"/>
      </cdr:nvSpPr>
      <cdr:spPr>
        <a:xfrm xmlns:a="http://schemas.openxmlformats.org/drawingml/2006/main">
          <a:off x="4176275" y="4616923"/>
          <a:ext cx="820281" cy="29664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600">
              <a:latin typeface="Lucida Calligraphy" panose="03010101010101010101" pitchFamily="66" charset="77"/>
            </a:rPr>
            <a:t>S</a:t>
          </a:r>
        </a:p>
      </cdr:txBody>
    </cdr:sp>
  </cdr:relSizeAnchor>
  <cdr:relSizeAnchor xmlns:cdr="http://schemas.openxmlformats.org/drawingml/2006/chartDrawing">
    <cdr:from>
      <cdr:x>0.23938</cdr:x>
      <cdr:y>0.4156</cdr:y>
    </cdr:from>
    <cdr:to>
      <cdr:x>0.4166</cdr:x>
      <cdr:y>0.45264</cdr:y>
    </cdr:to>
    <cdr:sp macro="" textlink="">
      <cdr:nvSpPr>
        <cdr:cNvPr id="10" name="Textfeld 1">
          <a:extLst xmlns:a="http://schemas.openxmlformats.org/drawingml/2006/main">
            <a:ext uri="{FF2B5EF4-FFF2-40B4-BE49-F238E27FC236}">
              <a16:creationId xmlns:a16="http://schemas.microsoft.com/office/drawing/2014/main" id="{5AF8B956-F0CC-ED4B-AE99-C66B7F0452FB}"/>
            </a:ext>
          </a:extLst>
        </cdr:cNvPr>
        <cdr:cNvSpPr txBox="1"/>
      </cdr:nvSpPr>
      <cdr:spPr>
        <a:xfrm xmlns:a="http://schemas.openxmlformats.org/drawingml/2006/main">
          <a:off x="1289029" y="1338884"/>
          <a:ext cx="954295" cy="1193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1200"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rPr>
            <a:t>Äquator</a:t>
          </a:r>
        </a:p>
      </cdr:txBody>
    </cdr:sp>
  </cdr:relSizeAnchor>
  <cdr:relSizeAnchor xmlns:cdr="http://schemas.openxmlformats.org/drawingml/2006/chartDrawing">
    <cdr:from>
      <cdr:x>0.09123</cdr:x>
      <cdr:y>0.4995</cdr:y>
    </cdr:from>
    <cdr:to>
      <cdr:x>0.94938</cdr:x>
      <cdr:y>0.4995</cdr:y>
    </cdr:to>
    <cdr:cxnSp macro="">
      <cdr:nvCxnSpPr>
        <cdr:cNvPr id="12" name="Gerade Verbindung 11">
          <a:extLst xmlns:a="http://schemas.openxmlformats.org/drawingml/2006/main">
            <a:ext uri="{FF2B5EF4-FFF2-40B4-BE49-F238E27FC236}">
              <a16:creationId xmlns:a16="http://schemas.microsoft.com/office/drawing/2014/main" id="{8A5C88C7-9A55-B246-AF0E-1ECE87005B7D}"/>
            </a:ext>
          </a:extLst>
        </cdr:cNvPr>
        <cdr:cNvCxnSpPr/>
      </cdr:nvCxnSpPr>
      <cdr:spPr>
        <a:xfrm xmlns:a="http://schemas.openxmlformats.org/drawingml/2006/main">
          <a:off x="757707" y="2588209"/>
          <a:ext cx="7127622" cy="0"/>
        </a:xfrm>
        <a:prstGeom xmlns:a="http://schemas.openxmlformats.org/drawingml/2006/main" prst="line">
          <a:avLst/>
        </a:prstGeom>
        <a:ln xmlns:a="http://schemas.openxmlformats.org/drawingml/2006/main" w="22225">
          <a:solidFill>
            <a:srgbClr val="FFC000"/>
          </a:solidFill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</c:userShape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811C1-6476-9748-8E8F-8F37BC682E30}">
  <dimension ref="A1:AH92"/>
  <sheetViews>
    <sheetView tabSelected="1" zoomScaleNormal="100" workbookViewId="0">
      <selection activeCell="O28" sqref="O28:P28"/>
    </sheetView>
  </sheetViews>
  <sheetFormatPr baseColWidth="10" defaultRowHeight="16"/>
  <cols>
    <col min="1" max="1" width="4.33203125" customWidth="1"/>
    <col min="2" max="2" width="25.33203125" customWidth="1"/>
    <col min="3" max="4" width="7.83203125" customWidth="1"/>
    <col min="5" max="5" width="4.33203125" customWidth="1"/>
    <col min="6" max="8" width="7.83203125" customWidth="1"/>
    <col min="9" max="10" width="4.33203125" customWidth="1"/>
    <col min="11" max="16" width="11.83203125" customWidth="1"/>
    <col min="17" max="17" width="4.83203125" customWidth="1"/>
    <col min="20" max="20" width="4.83203125" customWidth="1"/>
    <col min="21" max="23" width="11.83203125" customWidth="1"/>
    <col min="24" max="24" width="10.83203125" customWidth="1"/>
    <col min="25" max="25" width="4.33203125" customWidth="1"/>
    <col min="26" max="26" width="12.1640625" bestFit="1" customWidth="1"/>
    <col min="28" max="28" width="10.83203125" customWidth="1"/>
  </cols>
  <sheetData>
    <row r="1" spans="1:25">
      <c r="A1" s="3"/>
      <c r="B1" s="3"/>
      <c r="C1" s="3"/>
      <c r="D1" s="3"/>
      <c r="E1" s="3"/>
      <c r="F1" s="3"/>
      <c r="G1" s="3"/>
      <c r="H1" s="14"/>
      <c r="I1" s="1"/>
      <c r="J1" s="1"/>
      <c r="K1" s="1"/>
      <c r="L1" s="1"/>
      <c r="M1" s="1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2"/>
    </row>
    <row r="2" spans="1:25" ht="27">
      <c r="A2" s="3"/>
      <c r="B2" s="200" t="s">
        <v>148</v>
      </c>
      <c r="C2" s="4"/>
      <c r="D2" s="4"/>
      <c r="E2" s="3"/>
      <c r="F2" s="3"/>
      <c r="G2" s="3"/>
      <c r="H2" s="3"/>
      <c r="I2" s="1"/>
      <c r="J2" s="1"/>
      <c r="K2" s="326" t="s">
        <v>146</v>
      </c>
      <c r="L2" s="328"/>
      <c r="M2" s="327"/>
      <c r="N2" s="6"/>
      <c r="O2" s="6"/>
      <c r="S2" s="98"/>
      <c r="T2" s="6"/>
      <c r="U2" s="6"/>
      <c r="V2" s="6"/>
      <c r="W2" s="6"/>
      <c r="X2" s="6"/>
      <c r="Y2" s="12"/>
    </row>
    <row r="3" spans="1:25">
      <c r="A3" s="3"/>
      <c r="B3" s="3" t="s">
        <v>145</v>
      </c>
      <c r="C3" s="3"/>
      <c r="D3" s="3"/>
      <c r="E3" s="3"/>
      <c r="F3" s="3"/>
      <c r="G3" s="3"/>
      <c r="H3" s="3"/>
      <c r="I3" s="1"/>
      <c r="J3" s="1"/>
      <c r="M3" s="61"/>
      <c r="N3" s="61"/>
      <c r="O3" s="61"/>
      <c r="P3" s="61"/>
      <c r="Q3" s="61"/>
      <c r="R3" s="61"/>
      <c r="S3" s="61"/>
      <c r="T3" s="61"/>
      <c r="U3" s="344"/>
      <c r="V3" s="61"/>
      <c r="W3" s="61"/>
      <c r="X3" s="61"/>
      <c r="Y3" s="12"/>
    </row>
    <row r="4" spans="1:25" ht="27">
      <c r="A4" s="3"/>
      <c r="B4" s="3"/>
      <c r="C4" s="3"/>
      <c r="D4" s="75"/>
      <c r="E4" s="3"/>
      <c r="F4" s="76"/>
      <c r="G4" s="76"/>
      <c r="H4" s="3"/>
      <c r="I4" s="1"/>
      <c r="J4" s="1"/>
      <c r="K4" s="1"/>
      <c r="L4" s="1"/>
      <c r="M4" s="1"/>
      <c r="N4" s="1"/>
      <c r="O4" s="1"/>
      <c r="Y4" s="12"/>
    </row>
    <row r="5" spans="1:25" ht="20" thickBot="1">
      <c r="A5" s="7"/>
      <c r="B5" s="9" t="s">
        <v>96</v>
      </c>
      <c r="C5" s="43"/>
      <c r="D5" s="44"/>
      <c r="E5" s="44"/>
      <c r="F5" s="16"/>
      <c r="G5" s="16"/>
      <c r="H5" s="62" t="str">
        <f>IF(OR(AND(H6="O",OR(H7="O",H7="U")),AND(H6="U",OR(H7="O",H7="U")))=TRUE," ","ERROR")</f>
        <v xml:space="preserve"> </v>
      </c>
      <c r="I5" s="12"/>
      <c r="J5" s="12"/>
      <c r="K5" s="27" t="s">
        <v>143</v>
      </c>
      <c r="L5" s="12"/>
      <c r="M5" s="12"/>
      <c r="N5" s="12"/>
      <c r="O5" s="12"/>
      <c r="P5" s="12"/>
      <c r="Q5" s="12"/>
      <c r="R5" s="45" t="s">
        <v>103</v>
      </c>
      <c r="S5" s="46"/>
      <c r="T5" s="7"/>
      <c r="U5" s="45" t="s">
        <v>112</v>
      </c>
      <c r="V5" s="7"/>
      <c r="W5" s="12"/>
      <c r="X5" s="12"/>
      <c r="Y5" s="12"/>
    </row>
    <row r="6" spans="1:25" ht="17" thickBot="1">
      <c r="A6" s="3"/>
      <c r="B6" s="20" t="s">
        <v>5</v>
      </c>
      <c r="C6" s="33">
        <v>-1.2</v>
      </c>
      <c r="D6" s="387" t="s">
        <v>140</v>
      </c>
      <c r="E6" s="388"/>
      <c r="F6" s="388"/>
      <c r="G6" s="389"/>
      <c r="H6" s="36" t="s">
        <v>9</v>
      </c>
      <c r="I6" s="1"/>
      <c r="J6" s="1"/>
      <c r="K6" s="29"/>
      <c r="L6" s="30"/>
      <c r="M6" s="390" t="s">
        <v>49</v>
      </c>
      <c r="N6" s="391"/>
      <c r="O6" s="390" t="s">
        <v>50</v>
      </c>
      <c r="P6" s="391"/>
      <c r="Q6" s="1"/>
      <c r="R6" s="56" t="s">
        <v>105</v>
      </c>
      <c r="S6" s="57" t="s">
        <v>4</v>
      </c>
      <c r="T6" s="1"/>
      <c r="U6" s="96" t="s">
        <v>48</v>
      </c>
      <c r="V6" s="347"/>
      <c r="W6" s="370"/>
      <c r="X6" s="349"/>
      <c r="Y6" s="12"/>
    </row>
    <row r="7" spans="1:25" ht="17" thickBot="1">
      <c r="A7" s="3"/>
      <c r="B7" s="21" t="s">
        <v>6</v>
      </c>
      <c r="C7" s="34">
        <v>-1.2</v>
      </c>
      <c r="D7" s="392" t="s">
        <v>141</v>
      </c>
      <c r="E7" s="393"/>
      <c r="F7" s="393"/>
      <c r="G7" s="394"/>
      <c r="H7" s="37" t="s">
        <v>9</v>
      </c>
      <c r="I7" s="1"/>
      <c r="J7" s="1"/>
      <c r="K7" s="53"/>
      <c r="L7" s="48" t="s">
        <v>10</v>
      </c>
      <c r="M7" s="78">
        <f>G14+H14/60</f>
        <v>63.856666666666669</v>
      </c>
      <c r="N7" s="50"/>
      <c r="O7" s="78">
        <f>G22+H22/60</f>
        <v>69.24666666666667</v>
      </c>
      <c r="P7" s="50"/>
      <c r="Q7" s="1"/>
      <c r="R7" s="185">
        <v>1</v>
      </c>
      <c r="S7" s="186">
        <v>0.3</v>
      </c>
      <c r="T7" s="1"/>
      <c r="U7" s="97">
        <f>IF(C8="N",1,IF(C8="S",-1,"???"))*SIGN(d)</f>
        <v>1</v>
      </c>
      <c r="V7" s="348"/>
      <c r="W7" s="371"/>
      <c r="X7" s="350"/>
      <c r="Y7" s="12"/>
    </row>
    <row r="8" spans="1:25" ht="17" thickBot="1">
      <c r="A8" s="3"/>
      <c r="B8" s="35" t="s">
        <v>111</v>
      </c>
      <c r="C8" s="345" t="s">
        <v>149</v>
      </c>
      <c r="D8" s="379" t="s">
        <v>157</v>
      </c>
      <c r="E8" s="380"/>
      <c r="F8" s="381"/>
      <c r="G8" s="38">
        <v>2.2000000000000002</v>
      </c>
      <c r="H8" s="60" t="s">
        <v>147</v>
      </c>
      <c r="I8" s="1"/>
      <c r="J8" s="1"/>
      <c r="K8" s="54"/>
      <c r="L8" s="49" t="s">
        <v>11</v>
      </c>
      <c r="M8" s="79">
        <f>16-(55*TAN(RADIANS(90-M7))/60-55/1000*(TAN(RADIANS(90-M7)))^3/60+1.777*SQRT(G8))</f>
        <v>12.914461098973307</v>
      </c>
      <c r="N8" s="51"/>
      <c r="O8" s="79">
        <f>IF((16-(55*TAN(RADIANS(90-O7))/60-55/1000*(TAN(RADIANS(90-O7)))^3/60+1.777*SQRT(G8)))&lt;33,16-(55*TAN(RADIANS(90-O7))/60-55/1000*(TAN(RADIANS(90-O7)))^3/60+1.777*SQRT(G8)),0)</f>
        <v>13.016978015647837</v>
      </c>
      <c r="P8" s="51"/>
      <c r="Q8" s="1"/>
      <c r="R8" s="187">
        <f t="shared" ref="R8:R18" si="0">1+R7</f>
        <v>2</v>
      </c>
      <c r="S8" s="188">
        <v>0.2</v>
      </c>
      <c r="T8" s="1"/>
      <c r="U8" s="73" t="s">
        <v>22</v>
      </c>
      <c r="V8" s="74" t="s">
        <v>3</v>
      </c>
      <c r="W8" s="74" t="s">
        <v>44</v>
      </c>
      <c r="X8" s="351" t="s">
        <v>159</v>
      </c>
      <c r="Y8" s="12"/>
    </row>
    <row r="9" spans="1:25" ht="19">
      <c r="A9" s="3"/>
      <c r="B9" s="3"/>
      <c r="C9" s="67" t="str">
        <f>IF(OR(C8="N",C8="S")," ","N oder S eingeben!")</f>
        <v xml:space="preserve"> </v>
      </c>
      <c r="D9" s="7"/>
      <c r="E9" s="7"/>
      <c r="F9" s="7"/>
      <c r="G9" s="7"/>
      <c r="H9" s="3"/>
      <c r="I9" s="1"/>
      <c r="J9" s="1"/>
      <c r="K9" s="54"/>
      <c r="L9" s="49" t="s">
        <v>12</v>
      </c>
      <c r="M9" s="80">
        <f>IF(H6="U",DGET(R6:S18,2,S19:S20),IF(H6="O",-(32+DGET(R6:S18,2,S19:S20)),#N/A))</f>
        <v>0</v>
      </c>
      <c r="N9" s="51"/>
      <c r="O9" s="80">
        <f>IF(H7="U",DGET(R6:S18,2,S19:S20),IF(H7="O",-(32+DGET(R6:S18,2,S19:S20))&gt;33,#N/A))</f>
        <v>0</v>
      </c>
      <c r="P9" s="51"/>
      <c r="Q9" s="1"/>
      <c r="R9" s="187">
        <f t="shared" si="0"/>
        <v>3</v>
      </c>
      <c r="S9" s="188">
        <v>0.1</v>
      </c>
      <c r="T9" s="1"/>
      <c r="U9" s="312" t="s">
        <v>38</v>
      </c>
      <c r="V9" s="309">
        <f t="shared" ref="V9:V22" si="1">DEGREES(W9)</f>
        <v>40.539850989235639</v>
      </c>
      <c r="W9" s="352">
        <f>IF(C21="Zwischenzeit!","X",grt_-grt)</f>
        <v>0.70755387803004222</v>
      </c>
      <c r="X9" s="359" t="s">
        <v>169</v>
      </c>
      <c r="Y9" s="12"/>
    </row>
    <row r="10" spans="1:25">
      <c r="A10" s="3"/>
      <c r="B10" s="3"/>
      <c r="D10" s="3"/>
      <c r="E10" s="3"/>
      <c r="F10" s="3"/>
      <c r="G10" s="3"/>
      <c r="H10" s="3"/>
      <c r="I10" s="1"/>
      <c r="J10" s="1"/>
      <c r="K10" s="54"/>
      <c r="L10" s="49" t="s">
        <v>13</v>
      </c>
      <c r="M10" s="80">
        <f>C6</f>
        <v>-1.2</v>
      </c>
      <c r="N10" s="51"/>
      <c r="O10" s="80">
        <f>C7</f>
        <v>-1.2</v>
      </c>
      <c r="P10" s="51"/>
      <c r="Q10" s="1"/>
      <c r="R10" s="187">
        <f t="shared" si="0"/>
        <v>4</v>
      </c>
      <c r="S10" s="188">
        <v>0</v>
      </c>
      <c r="T10" s="1"/>
      <c r="U10" s="316" t="s">
        <v>26</v>
      </c>
      <c r="V10" s="309">
        <f t="shared" si="1"/>
        <v>13.576663068691623</v>
      </c>
      <c r="W10" s="353">
        <f>ATAN(TAN(d_)/COS(q))</f>
        <v>0.23695747198258588</v>
      </c>
      <c r="X10" s="360" t="s">
        <v>160</v>
      </c>
      <c r="Y10" s="12"/>
    </row>
    <row r="11" spans="1:25" ht="17">
      <c r="A11" s="3"/>
      <c r="B11" s="9" t="s">
        <v>97</v>
      </c>
      <c r="C11" s="9"/>
      <c r="D11" s="9"/>
      <c r="E11" s="7"/>
      <c r="F11" s="7"/>
      <c r="G11" s="10"/>
      <c r="H11" s="10"/>
      <c r="I11" s="1"/>
      <c r="J11" s="1"/>
      <c r="K11" s="54"/>
      <c r="L11" s="49" t="s">
        <v>15</v>
      </c>
      <c r="M11" s="81">
        <f>M7+(M8+M9+M10)/60</f>
        <v>64.051907684982893</v>
      </c>
      <c r="N11" s="83"/>
      <c r="O11" s="81">
        <f>O7+(O8+O9+O10)/60</f>
        <v>69.4436163002608</v>
      </c>
      <c r="P11" s="83"/>
      <c r="Q11" s="1"/>
      <c r="R11" s="187">
        <f t="shared" si="0"/>
        <v>5</v>
      </c>
      <c r="S11" s="188">
        <v>-0.2</v>
      </c>
      <c r="T11" s="1"/>
      <c r="U11" s="70" t="s">
        <v>36</v>
      </c>
      <c r="V11" s="309">
        <f t="shared" si="1"/>
        <v>86.138550283800967</v>
      </c>
      <c r="W11" s="354">
        <f>ATAN(COS(F)*TAN(q)/SIN(F-d))+IF(OR(IF(TG&gt;0,1,0)+ot_-ot&lt;0.5,IF(TG&gt;0,1,0)+ot_-ot+0.05&gt;1),0,PI())</f>
        <v>1.5034013153470229</v>
      </c>
      <c r="X11" s="361" t="s">
        <v>151</v>
      </c>
      <c r="Y11" s="12"/>
    </row>
    <row r="12" spans="1:25">
      <c r="A12" s="3"/>
      <c r="B12" s="39" t="s">
        <v>0</v>
      </c>
      <c r="C12" s="40"/>
      <c r="D12" s="17"/>
      <c r="E12" s="17"/>
      <c r="F12" s="41" t="s">
        <v>156</v>
      </c>
      <c r="G12" s="377">
        <v>45763</v>
      </c>
      <c r="H12" s="378"/>
      <c r="I12" s="1"/>
      <c r="J12" s="1"/>
      <c r="K12" s="54"/>
      <c r="L12" s="49" t="s">
        <v>16</v>
      </c>
      <c r="M12" s="82">
        <f>INT(M11)</f>
        <v>64</v>
      </c>
      <c r="N12" s="52">
        <f>(M11-M12)*60</f>
        <v>3.1144610989736066</v>
      </c>
      <c r="O12" s="82">
        <f>INT(O11)</f>
        <v>69</v>
      </c>
      <c r="P12" s="52">
        <f>(O11-O12)*60</f>
        <v>26.616978015647987</v>
      </c>
      <c r="Q12" s="1"/>
      <c r="R12" s="187">
        <f t="shared" si="0"/>
        <v>6</v>
      </c>
      <c r="S12" s="188">
        <v>-0.2</v>
      </c>
      <c r="T12" s="1"/>
      <c r="U12" s="70" t="s">
        <v>27</v>
      </c>
      <c r="V12" s="309">
        <f t="shared" si="1"/>
        <v>28.676711726862422</v>
      </c>
      <c r="W12" s="354">
        <f>P*ACOS((COS(V)*TAN(h)/TAN(F-d))*(SIN(h_)*SIN(F)/SIN(h)/SIN(d_)/COS(F-d)-1))</f>
        <v>0.5005030382790181</v>
      </c>
      <c r="X12" s="361" t="s">
        <v>161</v>
      </c>
      <c r="Y12" s="12"/>
    </row>
    <row r="13" spans="1:25" ht="17" thickBot="1">
      <c r="A13" s="3"/>
      <c r="B13" s="39" t="s">
        <v>1</v>
      </c>
      <c r="C13" s="40"/>
      <c r="D13" s="17"/>
      <c r="E13" s="17"/>
      <c r="F13" s="41" t="str">
        <f>IF(ISNUMBER(G13)=TRUE,"hh:mm:ss: "," Syntax !!! ")</f>
        <v xml:space="preserve">hh:mm:ss: </v>
      </c>
      <c r="G13" s="395">
        <v>0.6272106481481482</v>
      </c>
      <c r="H13" s="396"/>
      <c r="I13" s="1"/>
      <c r="J13" s="1"/>
      <c r="K13" s="55"/>
      <c r="L13" s="47" t="s">
        <v>14</v>
      </c>
      <c r="M13" s="99">
        <f>RADIANS(M11)</f>
        <v>1.1179166812864103</v>
      </c>
      <c r="N13" s="84" t="s">
        <v>7</v>
      </c>
      <c r="O13" s="99">
        <f>IF(O8=0,1/0,RADIANS(O11))</f>
        <v>1.2120197489311542</v>
      </c>
      <c r="P13" s="84" t="s">
        <v>37</v>
      </c>
      <c r="Q13" s="1"/>
      <c r="R13" s="187">
        <f t="shared" si="0"/>
        <v>7</v>
      </c>
      <c r="S13" s="188">
        <v>-0.2</v>
      </c>
      <c r="T13" s="1"/>
      <c r="U13" s="70" t="s">
        <v>28</v>
      </c>
      <c r="V13" s="309">
        <f t="shared" si="1"/>
        <v>75.333003547695725</v>
      </c>
      <c r="W13" s="353">
        <f>ATAN(TAN(h)/COS(V-W))</f>
        <v>1.3148089473238596</v>
      </c>
      <c r="X13" s="360" t="s">
        <v>152</v>
      </c>
      <c r="Y13" s="12"/>
    </row>
    <row r="14" spans="1:25">
      <c r="A14" s="3"/>
      <c r="B14" s="39" t="s">
        <v>2</v>
      </c>
      <c r="C14" s="273"/>
      <c r="D14" s="273"/>
      <c r="E14" s="273"/>
      <c r="F14" s="41" t="str">
        <f>IF(H6="U","Unterrand: ",IF(H6="O","Oberrand: "," "))</f>
        <v xml:space="preserve">Unterrand: </v>
      </c>
      <c r="G14" s="18">
        <v>63</v>
      </c>
      <c r="H14" s="22">
        <v>51.4</v>
      </c>
      <c r="I14" s="1"/>
      <c r="J14" s="1"/>
      <c r="K14" s="1"/>
      <c r="L14" s="1"/>
      <c r="M14" s="1"/>
      <c r="N14" s="1"/>
      <c r="O14" s="1"/>
      <c r="P14" s="1"/>
      <c r="Q14" s="1"/>
      <c r="R14" s="187">
        <f t="shared" si="0"/>
        <v>8</v>
      </c>
      <c r="S14" s="188">
        <v>-0.2</v>
      </c>
      <c r="T14" s="1"/>
      <c r="U14" s="316" t="s">
        <v>31</v>
      </c>
      <c r="V14" s="309">
        <f t="shared" si="1"/>
        <v>23.652657101994308</v>
      </c>
      <c r="W14" s="353">
        <f>ATAN(COS(G)*TAN(V-W)/SIN(G-d))</f>
        <v>0.41281674327502088</v>
      </c>
      <c r="X14" s="360" t="s">
        <v>153</v>
      </c>
      <c r="Y14" s="12"/>
    </row>
    <row r="15" spans="1:25">
      <c r="A15" s="3"/>
      <c r="B15" s="11"/>
      <c r="C15" s="11"/>
      <c r="D15" s="11"/>
      <c r="E15" s="3"/>
      <c r="F15" s="19"/>
      <c r="G15" s="3"/>
      <c r="H15" s="19"/>
      <c r="I15" s="1"/>
      <c r="J15" s="1"/>
      <c r="K15" s="1"/>
      <c r="L15" s="1"/>
      <c r="M15" s="1"/>
      <c r="N15" s="26"/>
      <c r="O15" s="25"/>
      <c r="P15" s="28"/>
      <c r="Q15" s="1"/>
      <c r="R15" s="187">
        <f t="shared" si="0"/>
        <v>9</v>
      </c>
      <c r="S15" s="188">
        <v>-0.1</v>
      </c>
      <c r="T15" s="1"/>
      <c r="U15" s="95" t="s">
        <v>29</v>
      </c>
      <c r="V15" s="310">
        <f t="shared" si="1"/>
        <v>23.154262395452889</v>
      </c>
      <c r="W15" s="355">
        <f>ATAN(COS(tau)*_xlfn.COT(G-d))</f>
        <v>0.40411811467136222</v>
      </c>
      <c r="X15" s="362" t="s">
        <v>64</v>
      </c>
      <c r="Y15" s="12"/>
    </row>
    <row r="16" spans="1:25" ht="19" thickBot="1">
      <c r="A16" s="3"/>
      <c r="B16" s="9" t="s">
        <v>98</v>
      </c>
      <c r="C16" s="24"/>
      <c r="D16" s="23"/>
      <c r="E16" s="10"/>
      <c r="F16" s="10"/>
      <c r="G16" s="10"/>
      <c r="H16" s="7"/>
      <c r="I16" s="1"/>
      <c r="J16" s="1"/>
      <c r="K16" s="91" t="s">
        <v>102</v>
      </c>
      <c r="L16" s="1"/>
      <c r="M16" s="1"/>
      <c r="N16" s="13" t="s">
        <v>144</v>
      </c>
      <c r="O16" s="1"/>
      <c r="P16" s="1"/>
      <c r="Q16" s="1"/>
      <c r="R16" s="187">
        <f t="shared" si="0"/>
        <v>10</v>
      </c>
      <c r="S16" s="188">
        <v>0.1</v>
      </c>
      <c r="T16" s="1"/>
      <c r="U16" s="95" t="s">
        <v>39</v>
      </c>
      <c r="V16" s="310">
        <f t="shared" si="1"/>
        <v>69.520678130802622</v>
      </c>
      <c r="W16" s="355">
        <f>grt+tau</f>
        <v>1.2133647316017229</v>
      </c>
      <c r="X16" s="362" t="s">
        <v>162</v>
      </c>
      <c r="Y16" s="12"/>
    </row>
    <row r="17" spans="1:25" ht="17" thickBot="1">
      <c r="A17" s="3"/>
      <c r="B17" s="39" t="s">
        <v>32</v>
      </c>
      <c r="C17" s="206">
        <v>17</v>
      </c>
      <c r="D17" s="205" t="s">
        <v>158</v>
      </c>
      <c r="E17" s="375" t="s">
        <v>33</v>
      </c>
      <c r="F17" s="375"/>
      <c r="G17" s="376"/>
      <c r="H17" s="59">
        <v>300</v>
      </c>
      <c r="I17" s="8"/>
      <c r="J17" s="8"/>
      <c r="K17" s="88" t="s">
        <v>159</v>
      </c>
      <c r="L17" s="372" t="s">
        <v>173</v>
      </c>
      <c r="M17" s="1"/>
      <c r="N17" s="183" t="s">
        <v>45</v>
      </c>
      <c r="O17" s="89" t="s">
        <v>46</v>
      </c>
      <c r="P17" s="90" t="s">
        <v>47</v>
      </c>
      <c r="Q17" s="1"/>
      <c r="R17" s="187">
        <f t="shared" si="0"/>
        <v>11</v>
      </c>
      <c r="S17" s="188">
        <v>0.2</v>
      </c>
      <c r="T17" s="1"/>
      <c r="U17" s="312" t="s">
        <v>23</v>
      </c>
      <c r="V17" s="313">
        <f t="shared" si="1"/>
        <v>336.34734289800571</v>
      </c>
      <c r="W17" s="352">
        <f>IF(grt-_l&lt;0,grt-_l+ 2*PI(),IF(grt-_l&gt;2*PI(),grt-_l-2*PI(),grt-_l))</f>
        <v>5.8703685639045657</v>
      </c>
      <c r="X17" s="359" t="s">
        <v>170</v>
      </c>
      <c r="Y17" s="12"/>
    </row>
    <row r="18" spans="1:25" ht="17" thickBot="1">
      <c r="A18" s="3"/>
      <c r="B18" s="7"/>
      <c r="C18" s="7"/>
      <c r="D18" s="7"/>
      <c r="E18" s="7"/>
      <c r="F18" s="7"/>
      <c r="G18" s="7"/>
      <c r="H18" s="7"/>
      <c r="I18" s="1"/>
      <c r="J18" s="1"/>
      <c r="K18" s="179" t="s">
        <v>88</v>
      </c>
      <c r="L18" s="301">
        <f>280.4656</f>
        <v>280.46559999999999</v>
      </c>
      <c r="M18" s="1"/>
      <c r="N18" s="182" t="s">
        <v>79</v>
      </c>
      <c r="O18" s="163">
        <f>_xlfn.DAYS(dat,ref)+ot-0.5</f>
        <v>9237.1272106481483</v>
      </c>
      <c r="P18" s="164">
        <f>_xlfn.DAYS(dat_,ref)+ot_-0.5</f>
        <v>9237.23980324074</v>
      </c>
      <c r="Q18" s="1"/>
      <c r="R18" s="189">
        <f t="shared" si="0"/>
        <v>12</v>
      </c>
      <c r="S18" s="190">
        <v>0.3</v>
      </c>
      <c r="T18" s="1"/>
      <c r="U18" s="316" t="s">
        <v>30</v>
      </c>
      <c r="V18" s="309">
        <f t="shared" si="1"/>
        <v>115.58545761093839</v>
      </c>
      <c r="W18" s="353">
        <f>IF(LHA&gt;PI(),ACOS((SIN(d)-SIN(h)*SIN(j))/(COS(h)*COS(j))),(2*PI()-ACOS((SIN(d)-SIN(h)*SIN(j))/(COS(h)*COS(j)))))</f>
        <v>2.0173468027352137</v>
      </c>
      <c r="X18" s="360" t="s">
        <v>163</v>
      </c>
      <c r="Y18" s="12"/>
    </row>
    <row r="19" spans="1:25" ht="18" thickBot="1">
      <c r="A19" s="3"/>
      <c r="B19" s="9" t="s">
        <v>99</v>
      </c>
      <c r="C19" s="15"/>
      <c r="D19" s="15"/>
      <c r="E19" s="16"/>
      <c r="F19" s="16"/>
      <c r="G19" s="308"/>
      <c r="H19" s="1"/>
      <c r="I19" s="1"/>
      <c r="J19" s="1"/>
      <c r="K19" s="180" t="s">
        <v>89</v>
      </c>
      <c r="L19" s="302">
        <f>282.94</f>
        <v>282.94</v>
      </c>
      <c r="M19" s="1"/>
      <c r="N19" s="165" t="s">
        <v>78</v>
      </c>
      <c r="O19" s="166">
        <f>RADIANS(_A1+_B1*_T1)</f>
        <v>163.79941979195965</v>
      </c>
      <c r="P19" s="167">
        <f>RADIANS(_A1+_B1*_T2)</f>
        <v>163.80135669883214</v>
      </c>
      <c r="Q19" s="1"/>
      <c r="R19" s="373" t="s">
        <v>104</v>
      </c>
      <c r="S19" s="71" t="s">
        <v>105</v>
      </c>
      <c r="T19" s="1"/>
      <c r="U19" s="314" t="s">
        <v>40</v>
      </c>
      <c r="V19" s="310">
        <f t="shared" si="1"/>
        <v>63.769414931423135</v>
      </c>
      <c r="W19" s="356">
        <f>RADIANS(dmg/60)*COS(Az-RADIANS(cmg))+h</f>
        <v>1.1129862526237677</v>
      </c>
      <c r="X19" s="363" t="s">
        <v>164</v>
      </c>
      <c r="Y19" s="12"/>
    </row>
    <row r="20" spans="1:25" ht="17" thickBot="1">
      <c r="A20" s="3"/>
      <c r="B20" s="39" t="s">
        <v>0</v>
      </c>
      <c r="C20" s="375" t="s">
        <v>174</v>
      </c>
      <c r="D20" s="375"/>
      <c r="E20" s="376"/>
      <c r="F20" s="340">
        <f>dat_-dat</f>
        <v>0</v>
      </c>
      <c r="G20" s="377">
        <v>45763</v>
      </c>
      <c r="H20" s="378"/>
      <c r="I20" s="1"/>
      <c r="J20" s="1"/>
      <c r="K20" s="180" t="s">
        <v>90</v>
      </c>
      <c r="L20" s="302">
        <f>0.016709</f>
        <v>1.6709000000000002E-2</v>
      </c>
      <c r="M20" s="1"/>
      <c r="N20" s="165" t="s">
        <v>81</v>
      </c>
      <c r="O20" s="166">
        <f>RADIANS(_A2+_B2*_T1)</f>
        <v>4.9458229900435642</v>
      </c>
      <c r="P20" s="167">
        <f>RADIANS(_A2+_B2*_T2)</f>
        <v>4.9458230825396523</v>
      </c>
      <c r="Q20" s="1"/>
      <c r="R20" s="374"/>
      <c r="S20" s="72">
        <f>MONTH(G12)</f>
        <v>4</v>
      </c>
      <c r="T20" s="1"/>
      <c r="U20" s="317" t="s">
        <v>41</v>
      </c>
      <c r="V20" s="313">
        <f t="shared" si="1"/>
        <v>29.022461629390804</v>
      </c>
      <c r="W20" s="357">
        <f>P*ACOS((COS(V)*TAN(hs)/TAN(F-d))*(SIN(h_)*SIN(F)/SIN(hs)/SIN(d_)/COS(F-d)-1))</f>
        <v>0.50653751246658785</v>
      </c>
      <c r="X20" s="364" t="s">
        <v>165</v>
      </c>
      <c r="Y20" s="12"/>
    </row>
    <row r="21" spans="1:25">
      <c r="A21" s="3"/>
      <c r="B21" s="39" t="s">
        <v>1</v>
      </c>
      <c r="C21" s="384" t="str">
        <f>IF(OR((dat_-dat)+ot_-ot&lt;0,(dat_-dat)+ot_-ot&gt;5),"Zwischenzeit!"," ")</f>
        <v xml:space="preserve"> </v>
      </c>
      <c r="D21" s="384"/>
      <c r="E21" s="382" t="str">
        <f>IF(ISNUMBER(G21)=TRUE,"hh:mm:ss: "," Syntax !!! ")</f>
        <v xml:space="preserve">hh:mm:ss: </v>
      </c>
      <c r="F21" s="383"/>
      <c r="G21" s="385">
        <v>0.73980324074074078</v>
      </c>
      <c r="H21" s="386"/>
      <c r="I21" s="1"/>
      <c r="J21" s="1"/>
      <c r="K21" s="180" t="s">
        <v>91</v>
      </c>
      <c r="L21" s="302">
        <f>23.4391667</f>
        <v>23.439166700000001</v>
      </c>
      <c r="M21" s="1"/>
      <c r="N21" s="165" t="s">
        <v>82</v>
      </c>
      <c r="O21" s="166">
        <f>O19-O20</f>
        <v>158.8535968019161</v>
      </c>
      <c r="P21" s="167">
        <f>(P19-P20)</f>
        <v>158.85553361629249</v>
      </c>
      <c r="Q21" s="1"/>
      <c r="R21" s="1"/>
      <c r="S21" s="1"/>
      <c r="T21" s="1"/>
      <c r="U21" s="70" t="s">
        <v>42</v>
      </c>
      <c r="V21" s="309">
        <f t="shared" si="1"/>
        <v>75.022997557346841</v>
      </c>
      <c r="W21" s="353">
        <f>ATAN(TAN(hs)/COS(V-Ws))</f>
        <v>1.3093983220913656</v>
      </c>
      <c r="X21" s="360" t="s">
        <v>154</v>
      </c>
      <c r="Y21" s="12"/>
    </row>
    <row r="22" spans="1:25">
      <c r="A22" s="3"/>
      <c r="B22" s="39" t="s">
        <v>2</v>
      </c>
      <c r="C22" s="273"/>
      <c r="D22" s="273"/>
      <c r="E22" s="273"/>
      <c r="F22" s="41" t="str">
        <f>IF(H7="U","Unterrand: ",IF(H7="O","Oberrand: "," "))</f>
        <v xml:space="preserve">Unterrand: </v>
      </c>
      <c r="G22" s="18">
        <v>69</v>
      </c>
      <c r="H22" s="22">
        <v>14.8</v>
      </c>
      <c r="I22" s="1"/>
      <c r="J22" s="1"/>
      <c r="K22" s="181"/>
      <c r="L22" s="303"/>
      <c r="M22" s="1"/>
      <c r="N22" s="165" t="s">
        <v>83</v>
      </c>
      <c r="O22" s="166">
        <f>_A3-_B3*_T1</f>
        <v>1.6698378252078105E-2</v>
      </c>
      <c r="P22" s="167">
        <f>_A3-_B3*_T2</f>
        <v>1.6698378122608184E-2</v>
      </c>
      <c r="Q22" s="1"/>
      <c r="R22" s="93"/>
      <c r="S22" s="3"/>
      <c r="T22" s="1"/>
      <c r="U22" s="92" t="s">
        <v>66</v>
      </c>
      <c r="V22" s="309">
        <f t="shared" si="1"/>
        <v>23.857987423457114</v>
      </c>
      <c r="W22" s="353">
        <f>ATAN(COS(Gs)*TAN(V-Ws)/SIN(Gs-d))</f>
        <v>0.41640043343872524</v>
      </c>
      <c r="X22" s="360" t="s">
        <v>155</v>
      </c>
      <c r="Y22" s="12"/>
    </row>
    <row r="23" spans="1:25">
      <c r="A23" s="3"/>
      <c r="B23" s="7"/>
      <c r="C23" s="3"/>
      <c r="D23" s="3"/>
      <c r="E23" s="3"/>
      <c r="F23" s="19"/>
      <c r="G23" s="346"/>
      <c r="I23" s="1"/>
      <c r="J23" s="1"/>
      <c r="K23" s="180" t="s">
        <v>92</v>
      </c>
      <c r="L23" s="304">
        <v>0.98564733744010957</v>
      </c>
      <c r="M23" s="1"/>
      <c r="N23" s="165" t="s">
        <v>108</v>
      </c>
      <c r="O23" s="166">
        <f>(2*O22-O22^3/4)*SIN(O21)+5*O22^2/4*SIN(2*O21)+13*O22^3/12*SIN(3*O21)</f>
        <v>3.2566825784796131E-2</v>
      </c>
      <c r="P23" s="167">
        <f>(2*P22-P22^3/4)*SIN(P21)+5*P22^2/4*SIN(2*P21)+13*P22^3/12*SIN(3*P21)</f>
        <v>3.2552490986882635E-2</v>
      </c>
      <c r="Q23" s="1"/>
      <c r="R23" s="94"/>
      <c r="S23" s="1"/>
      <c r="T23" s="1"/>
      <c r="U23" s="92" t="s">
        <v>67</v>
      </c>
      <c r="V23" s="309">
        <f>IF(var="Error",#N/A,DEGREES(js))</f>
        <v>23.41377793669697</v>
      </c>
      <c r="W23" s="353">
        <f>ATAN(COS(taus)*_xlfn.COT(Gs-d))</f>
        <v>0.40864751532616661</v>
      </c>
      <c r="X23" s="360" t="s">
        <v>166</v>
      </c>
      <c r="Y23" s="12"/>
    </row>
    <row r="24" spans="1:25" ht="17">
      <c r="A24" s="3"/>
      <c r="B24" s="9" t="s">
        <v>100</v>
      </c>
      <c r="C24" s="1"/>
      <c r="D24" s="1"/>
      <c r="E24" s="1"/>
      <c r="F24" s="1"/>
      <c r="G24" s="1"/>
      <c r="H24" s="1"/>
      <c r="I24" s="1"/>
      <c r="J24" s="1"/>
      <c r="K24" s="180" t="s">
        <v>93</v>
      </c>
      <c r="L24" s="304">
        <v>4.706913073237508E-5</v>
      </c>
      <c r="M24" s="1"/>
      <c r="N24" s="168" t="s">
        <v>80</v>
      </c>
      <c r="O24" s="166">
        <f>O19+O23</f>
        <v>163.83198661774443</v>
      </c>
      <c r="P24" s="167">
        <f>P19+P23</f>
        <v>163.83390918981902</v>
      </c>
      <c r="Q24" s="1"/>
      <c r="R24" s="94"/>
      <c r="S24" s="1"/>
      <c r="T24" s="1"/>
      <c r="U24" s="318" t="s">
        <v>68</v>
      </c>
      <c r="V24" s="309">
        <f>DEGREES(W24)</f>
        <v>69.726008452265447</v>
      </c>
      <c r="W24" s="353">
        <f>grt+taus</f>
        <v>1.2169484217654274</v>
      </c>
      <c r="X24" s="360" t="s">
        <v>167</v>
      </c>
      <c r="Y24" s="12"/>
    </row>
    <row r="25" spans="1:25" ht="17" thickBot="1">
      <c r="A25" s="3"/>
      <c r="B25" s="69" t="s">
        <v>52</v>
      </c>
      <c r="C25" s="329">
        <f>IFERROR(INT(ABS(lat))," ")</f>
        <v>23</v>
      </c>
      <c r="D25" s="330">
        <f>IFERROR(ROUNDDOWN((ABS(lat)-C25),6)*60," ")</f>
        <v>24.826620000000002</v>
      </c>
      <c r="E25" s="331" t="str">
        <f>IFERROR(IF(lat&lt;0,"S","N")," ")</f>
        <v>N</v>
      </c>
      <c r="F25" s="332">
        <f>IFERROR(INT(ABS(lon))," ")</f>
        <v>69</v>
      </c>
      <c r="G25" s="333">
        <f>IFERROR(ROUNDDOWN((ABS(lon)-F25),6)*60," ")</f>
        <v>43.560479999999998</v>
      </c>
      <c r="H25" s="334" t="str">
        <f>IFERROR(IF(lon&lt;0,"W","E")," ")</f>
        <v>W</v>
      </c>
      <c r="I25" s="1"/>
      <c r="J25" s="1"/>
      <c r="K25" s="180" t="s">
        <v>94</v>
      </c>
      <c r="L25" s="304">
        <v>1.1498973305954826E-9</v>
      </c>
      <c r="M25" s="1"/>
      <c r="N25" s="169" t="s">
        <v>84</v>
      </c>
      <c r="O25" s="170">
        <f>RADIANS(_A4-_B4*_T1)</f>
        <v>0.40903322740857728</v>
      </c>
      <c r="P25" s="171">
        <f>RADIANS(_A4-_B4*_T2)</f>
        <v>0.40903322670885467</v>
      </c>
      <c r="Q25" s="1"/>
      <c r="R25" s="94"/>
      <c r="S25" s="1"/>
      <c r="T25" s="1"/>
      <c r="U25" s="77" t="s">
        <v>43</v>
      </c>
      <c r="V25" s="311">
        <f>IF(var="Error",#N/A,DEGREES(ls))</f>
        <v>-69.726008452265447</v>
      </c>
      <c r="W25" s="358">
        <f>IF(_ls&gt;3*PI(),2*PI(),0)+IF(_ls&lt;PI(),-_ls,2*PI()-_ls)</f>
        <v>-1.2169484217654274</v>
      </c>
      <c r="X25" s="365" t="s">
        <v>168</v>
      </c>
      <c r="Y25" s="12"/>
    </row>
    <row r="26" spans="1:25" ht="17" thickBot="1">
      <c r="A26" s="3"/>
      <c r="B26" s="42" t="s">
        <v>8</v>
      </c>
      <c r="C26" s="399">
        <f>IFERROR(ot+(360-LHA°)/15/24," ")</f>
        <v>0.69291247343146567</v>
      </c>
      <c r="D26" s="399"/>
      <c r="E26" s="68" t="s">
        <v>25</v>
      </c>
      <c r="F26" s="400"/>
      <c r="G26" s="400"/>
      <c r="H26" s="271"/>
      <c r="I26" s="1"/>
      <c r="J26" s="1"/>
      <c r="K26" s="180" t="s">
        <v>95</v>
      </c>
      <c r="L26" s="304">
        <v>3.5607270514868054E-7</v>
      </c>
      <c r="M26" s="1"/>
      <c r="N26" s="172" t="s">
        <v>85</v>
      </c>
      <c r="O26" s="173">
        <f>ATAN(  (TAN(O19)-TAN(O24)*COS(O25))  /(1+TAN(O19)*TAN(O24)*COS(O25)))</f>
        <v>1.2599129654655324E-3</v>
      </c>
      <c r="P26" s="174">
        <f>ATAN(  (TAN(P19)-TAN(P24)*COS(P25))  /(1+TAN(P19)*TAN(P24)*COS(P25)))</f>
        <v>1.3736675204730599E-3</v>
      </c>
      <c r="Q26" s="1"/>
      <c r="R26" s="94"/>
      <c r="S26" s="1"/>
      <c r="T26" s="1"/>
      <c r="U26" s="1"/>
      <c r="V26" s="1"/>
      <c r="W26" s="319"/>
      <c r="X26" s="12"/>
      <c r="Y26" s="12"/>
    </row>
    <row r="27" spans="1:25" ht="19" thickBot="1">
      <c r="A27" s="3"/>
      <c r="B27" s="7"/>
      <c r="C27" s="3"/>
      <c r="D27" s="3"/>
      <c r="E27" s="3"/>
      <c r="F27" s="3"/>
      <c r="G27" s="3"/>
      <c r="H27" s="3"/>
      <c r="I27" s="1"/>
      <c r="J27" s="1"/>
      <c r="K27" s="87"/>
      <c r="L27" s="305"/>
      <c r="M27" s="1"/>
      <c r="N27" s="202" t="s">
        <v>109</v>
      </c>
      <c r="O27" s="203">
        <f>IF((ot*24+12)&gt;24,O26+RADIANS(15)*(ot*24-12),O26+RADIANS(15)*(ot*24+12))</f>
        <v>0.80054798832670204</v>
      </c>
      <c r="P27" s="269">
        <f>IF((ot_*24+12)&gt;24,P26+RADIANS(15)*(ot_*24-12),P26+RADIANS(15)*(ot_*24+12))</f>
        <v>1.5081018663567443</v>
      </c>
      <c r="Q27" s="1"/>
      <c r="R27" s="94"/>
      <c r="S27" s="1"/>
      <c r="T27" s="1"/>
      <c r="U27" s="13" t="s">
        <v>51</v>
      </c>
      <c r="V27" s="320"/>
      <c r="W27" s="321"/>
      <c r="X27" s="12"/>
      <c r="Y27" s="12"/>
    </row>
    <row r="28" spans="1:25" ht="18" thickBot="1">
      <c r="A28" s="1"/>
      <c r="B28" s="192" t="s">
        <v>101</v>
      </c>
      <c r="C28" s="3"/>
      <c r="D28" s="3"/>
      <c r="E28" s="3"/>
      <c r="F28" s="3"/>
      <c r="G28" s="3"/>
      <c r="H28" s="3"/>
      <c r="I28" s="1"/>
      <c r="J28" s="1"/>
      <c r="K28" s="184" t="s">
        <v>110</v>
      </c>
      <c r="L28" s="306">
        <v>36526</v>
      </c>
      <c r="M28" s="1"/>
      <c r="N28" s="175" t="s">
        <v>106</v>
      </c>
      <c r="O28" s="201">
        <f>IF(O27&lt;0,O27+2*PI(),IF(O27&gt;2*PI(),O27-2*PI(),O27))</f>
        <v>0.80054798832670204</v>
      </c>
      <c r="P28" s="201">
        <f>IF(P27&lt;0,P27+2*PI(),IF(P27&gt;2*PI(),P27-2*PI(),P27))</f>
        <v>1.5081018663567443</v>
      </c>
      <c r="Q28" s="1"/>
      <c r="R28" s="94"/>
      <c r="S28" s="1"/>
      <c r="T28" s="1"/>
      <c r="U28" s="322" t="s">
        <v>34</v>
      </c>
      <c r="V28" s="323">
        <f>DEGREES(W28)</f>
        <v>16.681863565778521</v>
      </c>
      <c r="W28" s="366">
        <f>IF(grt_+ls&lt;0,grt_+ls+ 2*PI(),IF(grt_+ls&gt;2*PI(),grt_+ls-2*PI(),grt_+ls))</f>
        <v>0.29115344459131687</v>
      </c>
      <c r="X28" s="368" t="s">
        <v>171</v>
      </c>
      <c r="Y28" s="12"/>
    </row>
    <row r="29" spans="1:25" ht="17" thickBot="1">
      <c r="A29" s="3"/>
      <c r="B29" s="31" t="s">
        <v>17</v>
      </c>
      <c r="C29" s="401">
        <f>G13</f>
        <v>0.6272106481481482</v>
      </c>
      <c r="D29" s="402"/>
      <c r="E29" s="401">
        <f>ot_</f>
        <v>0.73980324074074078</v>
      </c>
      <c r="F29" s="403"/>
      <c r="G29" s="402"/>
      <c r="H29" s="5"/>
      <c r="I29" s="1"/>
      <c r="J29" s="1"/>
      <c r="K29" s="85"/>
      <c r="L29" s="86"/>
      <c r="M29" s="1"/>
      <c r="N29" s="176" t="s">
        <v>86</v>
      </c>
      <c r="O29" s="177">
        <f>ASIN(SIN(O24)*SIN(O25))</f>
        <v>0.18081180160241775</v>
      </c>
      <c r="P29" s="178">
        <f>ASIN(SIN(P24)*SIN(P25))</f>
        <v>0.1815048350952487</v>
      </c>
      <c r="Q29" s="1"/>
      <c r="R29" s="94"/>
      <c r="S29" s="1"/>
      <c r="T29" s="1"/>
      <c r="U29" s="324" t="s">
        <v>35</v>
      </c>
      <c r="V29" s="325">
        <f>DEGREES(W29)</f>
        <v>233.52317046286038</v>
      </c>
      <c r="W29" s="367">
        <f>IF(LHA_&gt;PI(),ACOS((SIN(d_)-SIN(js)*SIN(h_))/COS(js)/COS(h_)),(2*PI()-ACOS((SIN(d_)-SIN(js)*SIN(h_))/COS(js)/COS(h_))))</f>
        <v>4.0757482042728839</v>
      </c>
      <c r="X29" s="369" t="s">
        <v>172</v>
      </c>
      <c r="Y29" s="12"/>
    </row>
    <row r="30" spans="1:25">
      <c r="A30" s="3"/>
      <c r="B30" s="63" t="s">
        <v>18</v>
      </c>
      <c r="C30" s="32">
        <f>INT(O30)</f>
        <v>45</v>
      </c>
      <c r="D30" s="197">
        <f>(O30-C30)*60</f>
        <v>52.0812617284993</v>
      </c>
      <c r="E30" s="404">
        <f>INT(P30)</f>
        <v>86</v>
      </c>
      <c r="F30" s="405"/>
      <c r="G30" s="193">
        <f>(P30-E30)*60</f>
        <v>24.47232108263762</v>
      </c>
      <c r="H30" s="3"/>
      <c r="M30" s="1"/>
      <c r="N30" s="175" t="s">
        <v>107</v>
      </c>
      <c r="O30" s="191">
        <f>DEGREES(O28)</f>
        <v>45.868021028808322</v>
      </c>
      <c r="P30" s="191">
        <f>DEGREES(P28)</f>
        <v>86.40787201804396</v>
      </c>
      <c r="Q30" s="1"/>
      <c r="R30" s="94"/>
      <c r="S30" s="1"/>
      <c r="T30" s="1"/>
      <c r="X30" s="12"/>
      <c r="Y30" s="12"/>
    </row>
    <row r="31" spans="1:25" ht="17" thickBot="1">
      <c r="A31" s="3"/>
      <c r="B31" s="64" t="s">
        <v>19</v>
      </c>
      <c r="C31" s="272">
        <f>ROUNDDOWN(O31,0)</f>
        <v>10</v>
      </c>
      <c r="D31" s="198">
        <f>(ABS(O31)-ABS(C31))*60</f>
        <v>21.585187078518757</v>
      </c>
      <c r="E31" s="406">
        <f>ROUNDDOWN(P31,0)</f>
        <v>10</v>
      </c>
      <c r="F31" s="407"/>
      <c r="G31" s="194">
        <f>(ABS(P31)-ABS(E31))*60</f>
        <v>23.967660730544189</v>
      </c>
      <c r="H31" s="3"/>
      <c r="M31" s="1"/>
      <c r="N31" s="176" t="s">
        <v>87</v>
      </c>
      <c r="O31" s="342">
        <f>DEGREES(O29)</f>
        <v>10.359753117975313</v>
      </c>
      <c r="P31" s="343">
        <f>DEGREES(P29)</f>
        <v>10.399461012175736</v>
      </c>
      <c r="Q31" s="1"/>
      <c r="R31" s="94"/>
      <c r="S31" s="1"/>
      <c r="T31" s="338"/>
      <c r="Y31" s="12"/>
    </row>
    <row r="32" spans="1:25">
      <c r="A32" s="3"/>
      <c r="B32" s="65" t="s">
        <v>20</v>
      </c>
      <c r="C32" s="272">
        <f>IFERROR(ROUNDDOWN(V17,0)," ")</f>
        <v>336</v>
      </c>
      <c r="D32" s="198">
        <f>IFERROR((V17-C32)*60," ")</f>
        <v>20.84057388034239</v>
      </c>
      <c r="E32" s="406">
        <f>IFERROR(ROUNDDOWN(V28,0)," ")</f>
        <v>16</v>
      </c>
      <c r="F32" s="407"/>
      <c r="G32" s="195">
        <f>IFERROR((V28-E32)*60," ")</f>
        <v>40.911813946711248</v>
      </c>
      <c r="H32" s="5"/>
      <c r="T32" s="338"/>
      <c r="Y32" s="12"/>
    </row>
    <row r="33" spans="1:34">
      <c r="A33" s="3"/>
      <c r="B33" s="64" t="s">
        <v>24</v>
      </c>
      <c r="C33" s="272">
        <f>IFERROR(INT(Az°)," ")</f>
        <v>115</v>
      </c>
      <c r="D33" s="198">
        <f>IFERROR((Az°-C33)*60," ")</f>
        <v>35.12745665630348</v>
      </c>
      <c r="E33" s="406">
        <f>IFERROR(INT(Az_°)," ")</f>
        <v>233</v>
      </c>
      <c r="F33" s="407"/>
      <c r="G33" s="195">
        <f>IFERROR((Az_°-E33)*60," ")</f>
        <v>31.390227771622676</v>
      </c>
      <c r="H33" s="204"/>
      <c r="T33" s="338"/>
      <c r="Y33" s="12"/>
    </row>
    <row r="34" spans="1:34">
      <c r="A34" s="3"/>
      <c r="B34" s="66" t="s">
        <v>21</v>
      </c>
      <c r="C34" s="58">
        <f>M12</f>
        <v>64</v>
      </c>
      <c r="D34" s="199">
        <f>N12</f>
        <v>3.1144610989736066</v>
      </c>
      <c r="E34" s="397">
        <f>O12</f>
        <v>69</v>
      </c>
      <c r="F34" s="398"/>
      <c r="G34" s="196">
        <f>P12</f>
        <v>26.616978015647987</v>
      </c>
      <c r="H34" s="3"/>
      <c r="I34" s="341"/>
      <c r="T34" s="338"/>
      <c r="Y34" s="12"/>
    </row>
    <row r="35" spans="1:34">
      <c r="T35" s="338"/>
      <c r="Y35" s="12"/>
    </row>
    <row r="36" spans="1:34">
      <c r="T36" s="338"/>
      <c r="Y36" s="12"/>
    </row>
    <row r="37" spans="1:34" ht="17">
      <c r="B37" s="101" t="s">
        <v>138</v>
      </c>
      <c r="K37" s="101" t="s">
        <v>150</v>
      </c>
      <c r="N37" s="335"/>
      <c r="O37" s="336" t="s">
        <v>55</v>
      </c>
      <c r="P37" s="315">
        <v>2</v>
      </c>
      <c r="T37" s="338"/>
      <c r="Y37" s="12"/>
    </row>
    <row r="38" spans="1:34">
      <c r="T38" s="338"/>
      <c r="Y38" s="12"/>
    </row>
    <row r="39" spans="1:34">
      <c r="K39" s="337"/>
      <c r="L39" s="337"/>
      <c r="M39" s="337"/>
      <c r="N39" s="337"/>
      <c r="O39" s="337"/>
      <c r="P39" s="337"/>
      <c r="Q39" s="337"/>
      <c r="R39" s="337"/>
      <c r="T39" s="338"/>
      <c r="Y39" s="12"/>
      <c r="AG39" s="337"/>
      <c r="AH39" s="337"/>
    </row>
    <row r="40" spans="1:34">
      <c r="T40" s="338"/>
      <c r="Y40" s="12"/>
    </row>
    <row r="41" spans="1:34">
      <c r="T41" s="338"/>
      <c r="Y41" s="12"/>
    </row>
    <row r="42" spans="1:34">
      <c r="T42" s="338"/>
      <c r="Y42" s="12"/>
    </row>
    <row r="43" spans="1:34">
      <c r="T43" s="338"/>
      <c r="Y43" s="12"/>
    </row>
    <row r="44" spans="1:34">
      <c r="T44" s="338"/>
      <c r="Y44" s="12"/>
    </row>
    <row r="45" spans="1:34">
      <c r="T45" s="338"/>
      <c r="Y45" s="12"/>
    </row>
    <row r="46" spans="1:34">
      <c r="T46" s="338"/>
      <c r="Y46" s="12"/>
    </row>
    <row r="47" spans="1:34">
      <c r="T47" s="338"/>
      <c r="Y47" s="12"/>
    </row>
    <row r="48" spans="1:34">
      <c r="T48" s="338"/>
      <c r="Y48" s="12"/>
    </row>
    <row r="49" spans="19:25">
      <c r="T49" s="338"/>
      <c r="Y49" s="12"/>
    </row>
    <row r="50" spans="19:25">
      <c r="T50" s="338"/>
      <c r="Y50" s="12"/>
    </row>
    <row r="51" spans="19:25">
      <c r="S51" s="337"/>
      <c r="T51" s="338"/>
      <c r="Y51" s="12"/>
    </row>
    <row r="52" spans="19:25">
      <c r="T52" s="338"/>
      <c r="Y52" s="12"/>
    </row>
    <row r="53" spans="19:25">
      <c r="T53" s="338"/>
      <c r="Y53" s="12"/>
    </row>
    <row r="54" spans="19:25">
      <c r="T54" s="338"/>
      <c r="Y54" s="12"/>
    </row>
    <row r="55" spans="19:25">
      <c r="T55" s="338"/>
      <c r="Y55" s="12"/>
    </row>
    <row r="56" spans="19:25">
      <c r="T56" s="338"/>
      <c r="Y56" s="12"/>
    </row>
    <row r="57" spans="19:25">
      <c r="T57" s="338"/>
      <c r="Y57" s="12"/>
    </row>
    <row r="58" spans="19:25">
      <c r="T58" s="338"/>
      <c r="Y58" s="12"/>
    </row>
    <row r="59" spans="19:25">
      <c r="T59" s="338"/>
      <c r="Y59" s="12"/>
    </row>
    <row r="60" spans="19:25">
      <c r="T60" s="338"/>
      <c r="Y60" s="12"/>
    </row>
    <row r="61" spans="19:25">
      <c r="T61" s="338"/>
      <c r="Y61" s="12"/>
    </row>
    <row r="62" spans="19:25">
      <c r="T62" s="338"/>
      <c r="Y62" s="12"/>
    </row>
    <row r="63" spans="19:25">
      <c r="T63" s="338"/>
      <c r="Y63" s="12"/>
    </row>
    <row r="64" spans="19:25">
      <c r="T64" s="338"/>
      <c r="Y64" s="12"/>
    </row>
    <row r="65" spans="15:25">
      <c r="T65" s="338"/>
      <c r="Y65" s="12"/>
    </row>
    <row r="66" spans="15:25">
      <c r="O66" s="339"/>
      <c r="P66" s="338"/>
      <c r="Q66" s="338"/>
      <c r="R66" s="338"/>
      <c r="T66" s="338"/>
      <c r="Y66" s="12"/>
    </row>
    <row r="67" spans="15:25">
      <c r="O67" s="339"/>
      <c r="P67" s="338"/>
      <c r="Q67" s="338"/>
      <c r="R67" s="338"/>
      <c r="T67" s="338"/>
      <c r="Y67" s="12"/>
    </row>
    <row r="68" spans="15:25">
      <c r="O68" s="339"/>
      <c r="P68" s="338"/>
      <c r="Q68" s="338"/>
      <c r="R68" s="338"/>
      <c r="T68" s="338"/>
      <c r="Y68" s="12"/>
    </row>
    <row r="69" spans="15:25">
      <c r="O69" s="339"/>
      <c r="P69" s="338"/>
      <c r="Q69" s="338"/>
      <c r="R69" s="338"/>
      <c r="T69" s="338"/>
      <c r="Y69" s="12"/>
    </row>
    <row r="70" spans="15:25">
      <c r="O70" s="339"/>
      <c r="P70" s="338"/>
      <c r="Q70" s="338"/>
      <c r="R70" s="338"/>
      <c r="T70" s="338"/>
      <c r="Y70" s="12"/>
    </row>
    <row r="71" spans="15:25">
      <c r="O71" s="339"/>
      <c r="P71" s="338"/>
      <c r="Q71" s="338"/>
      <c r="R71" s="338"/>
      <c r="T71" s="338"/>
      <c r="Y71" s="12"/>
    </row>
    <row r="72" spans="15:25">
      <c r="O72" s="339"/>
      <c r="P72" s="338"/>
      <c r="Q72" s="338"/>
      <c r="R72" s="338"/>
      <c r="T72" s="338"/>
      <c r="Y72" s="12"/>
    </row>
    <row r="73" spans="15:25">
      <c r="O73" s="339"/>
      <c r="P73" s="338"/>
      <c r="Q73" s="338"/>
      <c r="R73" s="338"/>
      <c r="T73" s="338"/>
      <c r="Y73" s="12"/>
    </row>
    <row r="74" spans="15:25">
      <c r="T74" s="338"/>
      <c r="Y74" s="12"/>
    </row>
    <row r="75" spans="15:25">
      <c r="T75" s="338"/>
      <c r="Y75" s="12"/>
    </row>
    <row r="76" spans="15:25">
      <c r="T76" s="338"/>
      <c r="Y76" s="12"/>
    </row>
    <row r="77" spans="15:25">
      <c r="T77" s="338"/>
      <c r="Y77" s="12"/>
    </row>
    <row r="78" spans="15:25">
      <c r="S78" s="338"/>
      <c r="T78" s="338"/>
      <c r="Y78" s="12"/>
    </row>
    <row r="79" spans="15:25">
      <c r="S79" s="338"/>
      <c r="T79" s="338"/>
      <c r="Y79" s="12"/>
    </row>
    <row r="80" spans="15:25">
      <c r="S80" s="338"/>
      <c r="T80" s="338"/>
      <c r="Y80" s="12"/>
    </row>
    <row r="81" spans="19:25">
      <c r="S81" s="338"/>
      <c r="T81" s="338"/>
      <c r="Y81" s="12"/>
    </row>
    <row r="82" spans="19:25">
      <c r="S82" s="338"/>
      <c r="T82" s="338"/>
      <c r="Y82" s="12"/>
    </row>
    <row r="83" spans="19:25">
      <c r="S83" s="338"/>
      <c r="T83" s="338"/>
      <c r="Y83" s="12"/>
    </row>
    <row r="84" spans="19:25">
      <c r="S84" s="338"/>
      <c r="T84" s="338"/>
      <c r="Y84" s="12"/>
    </row>
    <row r="85" spans="19:25">
      <c r="S85" s="338"/>
      <c r="T85" s="338"/>
      <c r="Y85" s="12"/>
    </row>
    <row r="86" spans="19:25">
      <c r="Y86" s="12"/>
    </row>
    <row r="87" spans="19:25">
      <c r="Y87" s="12"/>
    </row>
    <row r="88" spans="19:25">
      <c r="Y88" s="12"/>
    </row>
    <row r="89" spans="19:25">
      <c r="Y89" s="12"/>
    </row>
    <row r="90" spans="19:25">
      <c r="Y90" s="12"/>
    </row>
    <row r="91" spans="19:25">
      <c r="Y91" s="12"/>
    </row>
    <row r="92" spans="19:25">
      <c r="Y92" s="12"/>
    </row>
  </sheetData>
  <sheetProtection selectLockedCells="1"/>
  <mergeCells count="23">
    <mergeCell ref="E34:F34"/>
    <mergeCell ref="C26:D26"/>
    <mergeCell ref="F26:G26"/>
    <mergeCell ref="C29:D29"/>
    <mergeCell ref="E29:G29"/>
    <mergeCell ref="E30:F30"/>
    <mergeCell ref="E31:F31"/>
    <mergeCell ref="E32:F32"/>
    <mergeCell ref="E33:F33"/>
    <mergeCell ref="D6:G6"/>
    <mergeCell ref="M6:N6"/>
    <mergeCell ref="O6:P6"/>
    <mergeCell ref="D7:G7"/>
    <mergeCell ref="G12:H12"/>
    <mergeCell ref="R19:R20"/>
    <mergeCell ref="C20:E20"/>
    <mergeCell ref="G20:H20"/>
    <mergeCell ref="D8:F8"/>
    <mergeCell ref="E21:F21"/>
    <mergeCell ref="C21:D21"/>
    <mergeCell ref="G21:H21"/>
    <mergeCell ref="G13:H13"/>
    <mergeCell ref="E17:G17"/>
  </mergeCells>
  <pageMargins left="0.7" right="0.7" top="0.78740157499999996" bottom="0.78740157499999996" header="0.3" footer="0.3"/>
  <pageSetup paperSize="9" orientation="portrait" horizontalDpi="0" verticalDpi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FBE153-CB63-C74B-98F7-7BA9F0E28284}">
  <dimension ref="A1:T60"/>
  <sheetViews>
    <sheetView showGridLines="0" showRowColHeaders="0" workbookViewId="0">
      <selection activeCell="G35" sqref="G35"/>
    </sheetView>
  </sheetViews>
  <sheetFormatPr baseColWidth="10" defaultRowHeight="16"/>
  <sheetData>
    <row r="1" spans="1:20" ht="17" thickBot="1">
      <c r="A1" s="3"/>
      <c r="B1" s="3"/>
      <c r="C1" s="3"/>
      <c r="D1" s="3"/>
      <c r="E1" s="3"/>
      <c r="F1" s="3"/>
      <c r="G1" s="3"/>
      <c r="H1" s="3"/>
      <c r="I1" s="100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1" thickBot="1">
      <c r="A2" s="3"/>
      <c r="B2" s="101" t="s">
        <v>53</v>
      </c>
      <c r="C2" s="3"/>
      <c r="D2" s="3"/>
      <c r="E2" s="3"/>
      <c r="F2" s="408" t="s">
        <v>54</v>
      </c>
      <c r="G2" s="409"/>
      <c r="H2" s="410"/>
      <c r="I2" s="100"/>
      <c r="M2" s="3"/>
      <c r="N2" s="3"/>
      <c r="O2" s="3"/>
      <c r="P2" s="3"/>
      <c r="Q2" s="3"/>
      <c r="R2" s="3"/>
      <c r="S2" s="3"/>
      <c r="T2" s="3"/>
    </row>
    <row r="3" spans="1:20" ht="20">
      <c r="A3" s="3"/>
      <c r="B3" s="3"/>
      <c r="C3" s="3"/>
      <c r="D3" s="3"/>
      <c r="E3" s="3"/>
      <c r="F3" s="3"/>
      <c r="G3" s="3"/>
      <c r="H3" s="3"/>
      <c r="I3" s="100"/>
      <c r="J3" s="102"/>
      <c r="K3" s="102"/>
      <c r="L3" s="102"/>
      <c r="M3" s="3"/>
      <c r="N3" s="3"/>
      <c r="O3" s="3"/>
      <c r="P3" s="3"/>
      <c r="Q3" s="3"/>
      <c r="R3" s="3"/>
      <c r="S3" s="3"/>
      <c r="T3" s="3"/>
    </row>
    <row r="4" spans="1:20" ht="20">
      <c r="A4" s="3"/>
      <c r="B4" s="3"/>
      <c r="C4" s="3"/>
      <c r="D4" s="3"/>
      <c r="E4" s="3"/>
      <c r="F4" s="3"/>
      <c r="G4" s="3"/>
      <c r="H4" s="3"/>
      <c r="I4" s="100"/>
      <c r="J4" s="102"/>
      <c r="K4" s="102"/>
      <c r="L4" s="102"/>
      <c r="M4" s="3"/>
      <c r="N4" s="3"/>
      <c r="O4" s="3"/>
      <c r="P4" s="3"/>
      <c r="Q4" s="3"/>
      <c r="R4" s="3"/>
      <c r="S4" s="3"/>
      <c r="T4" s="3"/>
    </row>
    <row r="5" spans="1:20" ht="16" customHeight="1">
      <c r="A5" s="3"/>
      <c r="B5" s="3"/>
      <c r="C5" s="3"/>
      <c r="D5" s="3"/>
      <c r="E5" s="3"/>
      <c r="F5" s="3"/>
      <c r="G5" s="3"/>
      <c r="H5" s="3"/>
      <c r="I5" s="100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6" customHeight="1" thickBot="1">
      <c r="A6" s="3"/>
      <c r="B6" s="3"/>
      <c r="C6" s="3"/>
      <c r="D6" s="3"/>
      <c r="E6" s="3"/>
      <c r="F6" s="3"/>
      <c r="G6" s="3"/>
      <c r="H6" s="3"/>
      <c r="I6" s="100"/>
      <c r="J6" s="13" t="s">
        <v>77</v>
      </c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6" customHeight="1">
      <c r="A7" s="3"/>
      <c r="B7" s="3"/>
      <c r="C7" s="3"/>
      <c r="D7" s="3"/>
      <c r="E7" s="3"/>
      <c r="F7" s="3"/>
      <c r="G7" s="3"/>
      <c r="H7" s="3"/>
      <c r="I7" s="100"/>
      <c r="J7" s="411" t="s">
        <v>56</v>
      </c>
      <c r="K7" s="412"/>
      <c r="L7" s="412"/>
      <c r="M7" s="103">
        <f>cmg</f>
        <v>300</v>
      </c>
      <c r="N7" s="104"/>
      <c r="O7" s="105"/>
      <c r="P7" s="3"/>
      <c r="Q7" s="3"/>
      <c r="R7" s="3"/>
      <c r="S7" s="3"/>
      <c r="T7" s="3"/>
    </row>
    <row r="8" spans="1:20" ht="16" customHeight="1">
      <c r="A8" s="3"/>
      <c r="B8" s="3"/>
      <c r="C8" s="3"/>
      <c r="D8" s="3"/>
      <c r="E8" s="3"/>
      <c r="F8" s="3"/>
      <c r="G8" s="3"/>
      <c r="H8" s="3"/>
      <c r="I8" s="100"/>
      <c r="J8" s="413" t="s">
        <v>57</v>
      </c>
      <c r="K8" s="414"/>
      <c r="L8" s="414"/>
      <c r="M8" s="106">
        <f>dmg</f>
        <v>17</v>
      </c>
      <c r="N8" s="107" t="s">
        <v>58</v>
      </c>
      <c r="O8" s="108"/>
      <c r="P8" s="3"/>
      <c r="Q8" s="3"/>
      <c r="R8" s="3"/>
      <c r="S8" s="3"/>
      <c r="T8" s="3"/>
    </row>
    <row r="9" spans="1:20" ht="16" customHeight="1">
      <c r="A9" s="3"/>
      <c r="B9" s="3"/>
      <c r="C9" s="3"/>
      <c r="D9" s="3"/>
      <c r="E9" s="3"/>
      <c r="F9" s="3"/>
      <c r="G9" s="3"/>
      <c r="H9" s="3"/>
      <c r="I9" s="100"/>
      <c r="J9" s="413" t="s">
        <v>59</v>
      </c>
      <c r="K9" s="414"/>
      <c r="L9" s="414"/>
      <c r="M9" s="106">
        <f>dmg*COS(RADIANS(cmg))</f>
        <v>8.5000000000000018</v>
      </c>
      <c r="N9" s="109" t="s">
        <v>58</v>
      </c>
      <c r="O9" s="110">
        <f>M9/60</f>
        <v>0.14166666666666669</v>
      </c>
      <c r="P9" s="3"/>
      <c r="Q9" s="3"/>
      <c r="R9" s="111"/>
      <c r="S9" s="3"/>
      <c r="T9" s="3"/>
    </row>
    <row r="10" spans="1:20" ht="16" customHeight="1">
      <c r="A10" s="3"/>
      <c r="B10" s="3"/>
      <c r="C10" s="3"/>
      <c r="D10" s="3"/>
      <c r="E10" s="3"/>
      <c r="F10" s="3"/>
      <c r="G10" s="3"/>
      <c r="H10" s="3"/>
      <c r="I10" s="100"/>
      <c r="J10" s="413" t="s">
        <v>69</v>
      </c>
      <c r="K10" s="414"/>
      <c r="L10" s="414"/>
      <c r="M10" s="106">
        <f>dmg*SIN(RADIANS(cmg))</f>
        <v>-14.722431864335457</v>
      </c>
      <c r="N10" s="109" t="s">
        <v>58</v>
      </c>
      <c r="O10" s="110">
        <f>M10/60/COS(RADIANS(lat))</f>
        <v>-0.26739108809235174</v>
      </c>
      <c r="P10" s="3"/>
      <c r="Q10" s="3"/>
      <c r="R10" s="111"/>
      <c r="S10" s="3"/>
      <c r="T10" s="3"/>
    </row>
    <row r="11" spans="1:20" ht="16" customHeight="1">
      <c r="A11" s="3"/>
      <c r="B11" s="3"/>
      <c r="C11" s="3"/>
      <c r="D11" s="3"/>
      <c r="E11" s="3"/>
      <c r="F11" s="3"/>
      <c r="G11" s="3"/>
      <c r="H11" s="3"/>
      <c r="I11" s="100"/>
      <c r="J11" s="112"/>
      <c r="K11" s="25"/>
      <c r="L11" s="113" t="s">
        <v>60</v>
      </c>
      <c r="M11" s="114">
        <f>ABS(BB)/40</f>
        <v>0.05</v>
      </c>
      <c r="N11" s="25"/>
      <c r="O11" s="115"/>
      <c r="P11" s="3"/>
      <c r="Q11" s="3"/>
      <c r="R11" s="3"/>
      <c r="S11" s="3"/>
      <c r="T11" s="3"/>
    </row>
    <row r="12" spans="1:20" ht="16" customHeight="1">
      <c r="A12" s="3"/>
      <c r="B12" s="3"/>
      <c r="C12" s="3"/>
      <c r="D12" s="3"/>
      <c r="E12" s="3"/>
      <c r="F12" s="3"/>
      <c r="G12" s="3"/>
      <c r="H12" s="3"/>
      <c r="I12" s="100"/>
      <c r="J12" s="116"/>
      <c r="K12" s="3"/>
      <c r="L12" s="117" t="s">
        <v>61</v>
      </c>
      <c r="M12" s="14" t="str">
        <f>IF(LHA°&gt;180,"E","W")</f>
        <v>E</v>
      </c>
      <c r="N12" s="3"/>
      <c r="O12" s="118"/>
      <c r="P12" s="3"/>
      <c r="Q12" s="3"/>
      <c r="R12" s="3"/>
      <c r="S12" s="3"/>
      <c r="T12" s="3"/>
    </row>
    <row r="13" spans="1:20" ht="16" customHeight="1" thickBot="1">
      <c r="A13" s="3"/>
      <c r="B13" s="3"/>
      <c r="C13" s="3"/>
      <c r="D13" s="3"/>
      <c r="E13" s="3"/>
      <c r="F13" s="3"/>
      <c r="G13" s="3"/>
      <c r="H13" s="3"/>
      <c r="I13" s="100"/>
      <c r="J13" s="119"/>
      <c r="K13" s="120"/>
      <c r="L13" s="121" t="s">
        <v>62</v>
      </c>
      <c r="M13" s="122" t="str">
        <f>IF(LHA°_&lt;180,"W","E")</f>
        <v>W</v>
      </c>
      <c r="N13" s="120"/>
      <c r="O13" s="123"/>
      <c r="P13" s="3"/>
      <c r="Q13" s="3"/>
      <c r="R13" s="3"/>
      <c r="S13" s="3"/>
      <c r="T13" s="3"/>
    </row>
    <row r="14" spans="1:20" ht="16" customHeight="1">
      <c r="A14" s="3"/>
      <c r="B14" s="3"/>
      <c r="C14" s="3"/>
      <c r="D14" s="3"/>
      <c r="E14" s="3"/>
      <c r="F14" s="3"/>
      <c r="G14" s="3"/>
      <c r="H14" s="3"/>
      <c r="I14" s="100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6" customHeight="1" thickBot="1">
      <c r="A15" s="3"/>
      <c r="B15" s="3"/>
      <c r="C15" s="3"/>
      <c r="D15" s="3"/>
      <c r="E15" s="3"/>
      <c r="F15" s="3"/>
      <c r="G15" s="3"/>
      <c r="H15" s="3"/>
      <c r="I15" s="100"/>
      <c r="J15" s="13" t="s">
        <v>63</v>
      </c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6" customHeight="1" thickBot="1">
      <c r="A16" s="3"/>
      <c r="B16" s="3"/>
      <c r="C16" s="3"/>
      <c r="D16" s="3"/>
      <c r="E16" s="3"/>
      <c r="F16" s="3"/>
      <c r="G16" s="3"/>
      <c r="H16" s="3"/>
      <c r="I16" s="100"/>
      <c r="J16" s="124" t="s">
        <v>64</v>
      </c>
      <c r="K16" s="125" t="s">
        <v>70</v>
      </c>
      <c r="L16" s="161" t="s">
        <v>71</v>
      </c>
      <c r="M16" s="161" t="s">
        <v>72</v>
      </c>
      <c r="N16" s="161" t="s">
        <v>73</v>
      </c>
      <c r="O16" s="126" t="s">
        <v>74</v>
      </c>
      <c r="P16" s="126" t="s">
        <v>75</v>
      </c>
      <c r="Q16" s="127" t="s">
        <v>65</v>
      </c>
      <c r="R16" s="162" t="s">
        <v>76</v>
      </c>
      <c r="S16" s="3"/>
      <c r="T16" s="3"/>
    </row>
    <row r="17" spans="1:20" ht="16" customHeight="1">
      <c r="A17" s="3"/>
      <c r="B17" s="3"/>
      <c r="C17" s="3"/>
      <c r="D17" s="3"/>
      <c r="E17" s="3"/>
      <c r="F17" s="3"/>
      <c r="G17" s="3"/>
      <c r="H17" s="3"/>
      <c r="I17" s="100"/>
      <c r="J17" s="128"/>
      <c r="K17" s="129"/>
      <c r="L17" s="129"/>
      <c r="M17" s="129"/>
      <c r="N17" s="129"/>
      <c r="O17" s="130"/>
      <c r="P17" s="131"/>
      <c r="Q17" s="132"/>
      <c r="R17" s="133"/>
      <c r="S17" s="3"/>
      <c r="T17" s="3"/>
    </row>
    <row r="18" spans="1:20" ht="16" customHeight="1">
      <c r="A18" s="3"/>
      <c r="B18" s="3"/>
      <c r="C18" s="3"/>
      <c r="D18" s="3"/>
      <c r="E18" s="3"/>
      <c r="F18" s="3"/>
      <c r="G18" s="3"/>
      <c r="H18" s="3"/>
      <c r="I18" s="100"/>
      <c r="J18" s="134">
        <f>J19+$M$11</f>
        <v>24.342944603363652</v>
      </c>
      <c r="K18" s="135">
        <f t="shared" ref="K18:K58" si="0">RADIANS(J18)</f>
        <v>0.42486453295928084</v>
      </c>
      <c r="L18" s="135">
        <f>IFERROR(DEGREES(grt+IF(B="W",-1,1)*ACOS((SIN(h)-SIN(d)*SIN(K18))/COS(d)/COS(K18))),#N/A)</f>
        <v>68.856392967760911</v>
      </c>
      <c r="M18" s="135">
        <f>IFERROR(DEGREES(grt_+IF(B_="W",-1,1)*ACOS((SIN(h_)-SIN(d_)*SIN(K18))/COS(d_)/COS(K18))),#N/A)</f>
        <v>70.526064616129048</v>
      </c>
      <c r="N18" s="135">
        <f t="shared" ref="N18:N58" si="1">IFERROR(DEGREES(grt+IF(B="W",-1,1)*ACOS((SIN(hs)-SIN(d)*SIN(K18))/COS(d)/COS(K18))),#N/A)</f>
        <v>69.208767935062681</v>
      </c>
      <c r="O18" s="136">
        <f t="shared" ref="O18:Q40" si="2">IF(L18&lt;0,ABS(L18),IF(L18&gt;360,-(L18-360),IF(AND(L18&gt;180,L18&lt;360),360-L18,-L18)))</f>
        <v>-68.856392967760911</v>
      </c>
      <c r="P18" s="137">
        <f>IF(M18&lt;0,ABS(M18),IF(M18&gt;360,-(M18-360),IF(AND(M18&gt;180,M18&lt;360),360-M18,-M18)))</f>
        <v>-70.526064616129048</v>
      </c>
      <c r="Q18" s="138">
        <f>IF(N18&lt;0,ABS(N18),IF(N18&gt;360,-(N18-360),IF(AND(N18&gt;180,N18&lt;360),360-N18,-N18)))</f>
        <v>-69.208767935062681</v>
      </c>
      <c r="R18" s="139"/>
      <c r="S18" s="3"/>
      <c r="T18" s="3"/>
    </row>
    <row r="19" spans="1:20" ht="16" customHeight="1">
      <c r="A19" s="3"/>
      <c r="B19" s="3"/>
      <c r="C19" s="3"/>
      <c r="D19" s="3"/>
      <c r="E19" s="3"/>
      <c r="F19" s="3"/>
      <c r="G19" s="3"/>
      <c r="H19" s="3"/>
      <c r="I19" s="100"/>
      <c r="J19" s="134">
        <f>J20+$M$11</f>
        <v>24.292944603363651</v>
      </c>
      <c r="K19" s="135">
        <f t="shared" si="0"/>
        <v>0.42399186833328367</v>
      </c>
      <c r="L19" s="135">
        <f t="shared" ref="L19:L42" si="3">IFERROR(DEGREES(grt+IF(B="W",-1,1)*ACOS((SIN(h)-SIN(d)*SIN(K19))/COS(d)/COS(K19))),#N/A)</f>
        <v>68.886224353346776</v>
      </c>
      <c r="M19" s="135">
        <f t="shared" ref="M19:M58" si="4">IFERROR(DEGREES(grt_+IF(B_="W",-1,1)*ACOS((SIN(h_)-SIN(d_)*SIN(K19))/COS(d_)/COS(K19))),#N/A)</f>
        <v>70.480255199599995</v>
      </c>
      <c r="N19" s="135">
        <f t="shared" si="1"/>
        <v>69.238036366863454</v>
      </c>
      <c r="O19" s="136">
        <f t="shared" si="2"/>
        <v>-68.886224353346776</v>
      </c>
      <c r="P19" s="137">
        <f t="shared" si="2"/>
        <v>-70.480255199599995</v>
      </c>
      <c r="Q19" s="138">
        <f t="shared" si="2"/>
        <v>-69.238036366863454</v>
      </c>
      <c r="R19" s="139"/>
      <c r="S19" s="3"/>
      <c r="T19" s="3"/>
    </row>
    <row r="20" spans="1:20" ht="16" customHeight="1">
      <c r="A20" s="3"/>
      <c r="B20" s="3"/>
      <c r="C20" s="3"/>
      <c r="D20" s="3"/>
      <c r="E20" s="3"/>
      <c r="F20" s="3"/>
      <c r="G20" s="3"/>
      <c r="H20" s="3"/>
      <c r="I20" s="100"/>
      <c r="J20" s="134">
        <f t="shared" ref="J20:J35" si="5">J21+$M$11</f>
        <v>24.24294460336365</v>
      </c>
      <c r="K20" s="135">
        <f t="shared" si="0"/>
        <v>0.42311920370728645</v>
      </c>
      <c r="L20" s="135">
        <f t="shared" si="3"/>
        <v>68.915884046823763</v>
      </c>
      <c r="M20" s="135">
        <f t="shared" si="4"/>
        <v>70.434775229550198</v>
      </c>
      <c r="N20" s="135">
        <f t="shared" si="1"/>
        <v>69.267137352939429</v>
      </c>
      <c r="O20" s="136">
        <f t="shared" si="2"/>
        <v>-68.915884046823763</v>
      </c>
      <c r="P20" s="137">
        <f t="shared" si="2"/>
        <v>-70.434775229550198</v>
      </c>
      <c r="Q20" s="138">
        <f t="shared" si="2"/>
        <v>-69.267137352939429</v>
      </c>
      <c r="R20" s="139"/>
      <c r="S20" s="3"/>
      <c r="T20" s="3"/>
    </row>
    <row r="21" spans="1:20" ht="16" customHeight="1">
      <c r="A21" s="3"/>
      <c r="B21" s="3"/>
      <c r="C21" s="3"/>
      <c r="D21" s="3"/>
      <c r="E21" s="3"/>
      <c r="F21" s="3"/>
      <c r="G21" s="3"/>
      <c r="H21" s="3"/>
      <c r="I21" s="100"/>
      <c r="J21" s="134">
        <f t="shared" si="5"/>
        <v>24.192944603363649</v>
      </c>
      <c r="K21" s="135">
        <f t="shared" si="0"/>
        <v>0.42224653908128928</v>
      </c>
      <c r="L21" s="135">
        <f t="shared" si="3"/>
        <v>68.945372886463289</v>
      </c>
      <c r="M21" s="135">
        <f t="shared" si="4"/>
        <v>70.389621637912754</v>
      </c>
      <c r="N21" s="135">
        <f t="shared" si="1"/>
        <v>69.296071690575602</v>
      </c>
      <c r="O21" s="136">
        <f t="shared" si="2"/>
        <v>-68.945372886463289</v>
      </c>
      <c r="P21" s="137">
        <f t="shared" si="2"/>
        <v>-70.389621637912754</v>
      </c>
      <c r="Q21" s="138">
        <f t="shared" si="2"/>
        <v>-69.296071690575602</v>
      </c>
      <c r="R21" s="139"/>
      <c r="S21" s="3"/>
      <c r="T21" s="3"/>
    </row>
    <row r="22" spans="1:20" ht="16" customHeight="1">
      <c r="A22" s="3"/>
      <c r="B22" s="3"/>
      <c r="C22" s="3"/>
      <c r="D22" s="3"/>
      <c r="E22" s="3"/>
      <c r="F22" s="3"/>
      <c r="G22" s="3"/>
      <c r="H22" s="3"/>
      <c r="I22" s="100"/>
      <c r="J22" s="134">
        <f t="shared" si="5"/>
        <v>24.142944603363649</v>
      </c>
      <c r="K22" s="135">
        <f t="shared" si="0"/>
        <v>0.42137387445529212</v>
      </c>
      <c r="L22" s="135">
        <f t="shared" si="3"/>
        <v>68.974691701816596</v>
      </c>
      <c r="M22" s="135">
        <f t="shared" si="4"/>
        <v>70.344791412080127</v>
      </c>
      <c r="N22" s="135">
        <f t="shared" si="1"/>
        <v>69.324840168931871</v>
      </c>
      <c r="O22" s="136">
        <f t="shared" si="2"/>
        <v>-68.974691701816596</v>
      </c>
      <c r="P22" s="137">
        <f t="shared" si="2"/>
        <v>-70.344791412080127</v>
      </c>
      <c r="Q22" s="138">
        <f t="shared" si="2"/>
        <v>-69.324840168931871</v>
      </c>
      <c r="R22" s="139"/>
      <c r="S22" s="3"/>
      <c r="T22" s="3"/>
    </row>
    <row r="23" spans="1:20" ht="16" customHeight="1">
      <c r="A23" s="3"/>
      <c r="B23" s="3"/>
      <c r="C23" s="3"/>
      <c r="D23" s="3"/>
      <c r="E23" s="3"/>
      <c r="F23" s="3"/>
      <c r="G23" s="3"/>
      <c r="H23" s="3"/>
      <c r="I23" s="100"/>
      <c r="J23" s="134">
        <f t="shared" si="5"/>
        <v>24.092944603363648</v>
      </c>
      <c r="K23" s="135">
        <f t="shared" si="0"/>
        <v>0.42050120982929495</v>
      </c>
      <c r="L23" s="135">
        <f t="shared" si="3"/>
        <v>69.003841313833348</v>
      </c>
      <c r="M23" s="135">
        <f t="shared" si="4"/>
        <v>70.30028159351663</v>
      </c>
      <c r="N23" s="135">
        <f t="shared" si="1"/>
        <v>69.353443569150826</v>
      </c>
      <c r="O23" s="136">
        <f t="shared" si="2"/>
        <v>-69.003841313833348</v>
      </c>
      <c r="P23" s="137">
        <f t="shared" si="2"/>
        <v>-70.30028159351663</v>
      </c>
      <c r="Q23" s="138">
        <f t="shared" si="2"/>
        <v>-69.353443569150826</v>
      </c>
      <c r="R23" s="139"/>
      <c r="S23" s="3"/>
      <c r="T23" s="3"/>
    </row>
    <row r="24" spans="1:20" ht="16" customHeight="1">
      <c r="A24" s="3"/>
      <c r="B24" s="3"/>
      <c r="C24" s="3"/>
      <c r="D24" s="3"/>
      <c r="E24" s="3"/>
      <c r="F24" s="3"/>
      <c r="G24" s="3"/>
      <c r="H24" s="3"/>
      <c r="I24" s="100"/>
      <c r="J24" s="134">
        <f t="shared" si="5"/>
        <v>24.042944603363647</v>
      </c>
      <c r="K24" s="135">
        <f t="shared" si="0"/>
        <v>0.41962854520329779</v>
      </c>
      <c r="L24" s="135">
        <f t="shared" si="3"/>
        <v>69.032822534978038</v>
      </c>
      <c r="M24" s="135">
        <f t="shared" si="4"/>
        <v>70.25608927641531</v>
      </c>
      <c r="N24" s="135">
        <f t="shared" si="1"/>
        <v>69.381882664463518</v>
      </c>
      <c r="O24" s="136">
        <f t="shared" si="2"/>
        <v>-69.032822534978038</v>
      </c>
      <c r="P24" s="137">
        <f t="shared" si="2"/>
        <v>-70.25608927641531</v>
      </c>
      <c r="Q24" s="138">
        <f t="shared" si="2"/>
        <v>-69.381882664463518</v>
      </c>
      <c r="R24" s="139"/>
      <c r="S24" s="3"/>
      <c r="T24" s="3"/>
    </row>
    <row r="25" spans="1:20" ht="16" customHeight="1">
      <c r="A25" s="3"/>
      <c r="B25" s="3"/>
      <c r="C25" s="3"/>
      <c r="D25" s="3"/>
      <c r="E25" s="3"/>
      <c r="F25" s="3"/>
      <c r="G25" s="3"/>
      <c r="H25" s="3"/>
      <c r="I25" s="61"/>
      <c r="J25" s="134">
        <f t="shared" si="5"/>
        <v>23.992944603363647</v>
      </c>
      <c r="K25" s="135">
        <f t="shared" si="0"/>
        <v>0.41875588057730057</v>
      </c>
      <c r="L25" s="135">
        <f t="shared" si="3"/>
        <v>69.061636169344297</v>
      </c>
      <c r="M25" s="135">
        <f t="shared" si="4"/>
        <v>70.21221160639891</v>
      </c>
      <c r="N25" s="135">
        <f t="shared" si="1"/>
        <v>69.410158220293582</v>
      </c>
      <c r="O25" s="136">
        <f t="shared" si="2"/>
        <v>-69.061636169344297</v>
      </c>
      <c r="P25" s="137">
        <f t="shared" si="2"/>
        <v>-70.21221160639891</v>
      </c>
      <c r="Q25" s="138">
        <f t="shared" si="2"/>
        <v>-69.410158220293582</v>
      </c>
      <c r="R25" s="139"/>
      <c r="S25" s="3"/>
      <c r="T25" s="3"/>
    </row>
    <row r="26" spans="1:20" ht="16" customHeight="1">
      <c r="A26" s="3"/>
      <c r="B26" s="3"/>
      <c r="C26" s="3"/>
      <c r="D26" s="3"/>
      <c r="E26" s="3"/>
      <c r="F26" s="3"/>
      <c r="G26" s="3"/>
      <c r="H26" s="3"/>
      <c r="I26" s="100"/>
      <c r="J26" s="134">
        <f>J27+$M$11</f>
        <v>23.942944603363646</v>
      </c>
      <c r="K26" s="135">
        <f t="shared" si="0"/>
        <v>0.4178832159513034</v>
      </c>
      <c r="L26" s="135">
        <f t="shared" si="3"/>
        <v>69.09028301276706</v>
      </c>
      <c r="M26" s="135">
        <f t="shared" si="4"/>
        <v>70.168645779261155</v>
      </c>
      <c r="N26" s="135">
        <f t="shared" si="1"/>
        <v>69.438270994359158</v>
      </c>
      <c r="O26" s="136">
        <f t="shared" si="2"/>
        <v>-69.09028301276706</v>
      </c>
      <c r="P26" s="137">
        <f t="shared" si="2"/>
        <v>-70.168645779261155</v>
      </c>
      <c r="Q26" s="138">
        <f t="shared" si="2"/>
        <v>-69.438270994359158</v>
      </c>
      <c r="R26" s="139"/>
      <c r="S26" s="3"/>
      <c r="T26" s="3"/>
    </row>
    <row r="27" spans="1:20" ht="16" customHeight="1">
      <c r="A27" s="3"/>
      <c r="B27" s="3"/>
      <c r="C27" s="3"/>
      <c r="D27" s="3"/>
      <c r="E27" s="3"/>
      <c r="F27" s="3"/>
      <c r="G27" s="3"/>
      <c r="H27" s="3"/>
      <c r="I27" s="100"/>
      <c r="J27" s="134">
        <f t="shared" si="5"/>
        <v>23.892944603363645</v>
      </c>
      <c r="K27" s="135">
        <f t="shared" si="0"/>
        <v>0.41701055132530623</v>
      </c>
      <c r="L27" s="135">
        <f t="shared" si="3"/>
        <v>69.118763852932858</v>
      </c>
      <c r="M27" s="135">
        <f t="shared" si="4"/>
        <v>70.125389039749152</v>
      </c>
      <c r="N27" s="135">
        <f t="shared" si="1"/>
        <v>69.466221736773406</v>
      </c>
      <c r="O27" s="136">
        <f t="shared" si="2"/>
        <v>-69.118763852932858</v>
      </c>
      <c r="P27" s="137">
        <f t="shared" si="2"/>
        <v>-70.125389039749152</v>
      </c>
      <c r="Q27" s="138">
        <f t="shared" si="2"/>
        <v>-69.466221736773406</v>
      </c>
      <c r="R27" s="139"/>
      <c r="S27" s="3"/>
      <c r="T27" s="3"/>
    </row>
    <row r="28" spans="1:20" ht="16" customHeight="1">
      <c r="A28" s="3"/>
      <c r="B28" s="3"/>
      <c r="C28" s="3"/>
      <c r="D28" s="3"/>
      <c r="E28" s="3"/>
      <c r="F28" s="3"/>
      <c r="G28" s="3"/>
      <c r="H28" s="3"/>
      <c r="I28" s="100"/>
      <c r="J28" s="134">
        <f t="shared" si="5"/>
        <v>23.842944603363645</v>
      </c>
      <c r="K28" s="135">
        <f t="shared" si="0"/>
        <v>0.41613788669930907</v>
      </c>
      <c r="L28" s="135">
        <f t="shared" si="3"/>
        <v>69.147079469488091</v>
      </c>
      <c r="M28" s="135">
        <f t="shared" si="4"/>
        <v>70.082438680383049</v>
      </c>
      <c r="N28" s="135">
        <f t="shared" si="1"/>
        <v>69.494011190143013</v>
      </c>
      <c r="O28" s="136">
        <f t="shared" si="2"/>
        <v>-69.147079469488091</v>
      </c>
      <c r="P28" s="137">
        <f t="shared" si="2"/>
        <v>-70.082438680383049</v>
      </c>
      <c r="Q28" s="138">
        <f t="shared" si="2"/>
        <v>-69.494011190143013</v>
      </c>
      <c r="R28" s="139"/>
      <c r="S28" s="3"/>
      <c r="T28" s="3"/>
    </row>
    <row r="29" spans="1:20" ht="16" customHeight="1">
      <c r="A29" s="3"/>
      <c r="B29" s="3"/>
      <c r="C29" s="3"/>
      <c r="D29" s="3"/>
      <c r="E29" s="3"/>
      <c r="F29" s="3"/>
      <c r="G29" s="3"/>
      <c r="H29" s="3"/>
      <c r="I29" s="100"/>
      <c r="J29" s="134">
        <f t="shared" si="5"/>
        <v>23.792944603363644</v>
      </c>
      <c r="K29" s="135">
        <f t="shared" si="0"/>
        <v>0.4152652220733119</v>
      </c>
      <c r="L29" s="135">
        <f t="shared" si="3"/>
        <v>69.175230634145294</v>
      </c>
      <c r="M29" s="135">
        <f t="shared" si="4"/>
        <v>70.039792040313472</v>
      </c>
      <c r="N29" s="135">
        <f t="shared" si="1"/>
        <v>69.521640089665155</v>
      </c>
      <c r="O29" s="136">
        <f t="shared" si="2"/>
        <v>-69.175230634145294</v>
      </c>
      <c r="P29" s="137">
        <f t="shared" si="2"/>
        <v>-70.039792040313472</v>
      </c>
      <c r="Q29" s="138">
        <f t="shared" si="2"/>
        <v>-69.521640089665155</v>
      </c>
      <c r="R29" s="139"/>
      <c r="S29" s="3"/>
      <c r="T29" s="3"/>
    </row>
    <row r="30" spans="1:20" ht="16" customHeight="1">
      <c r="A30" s="3"/>
      <c r="B30" s="3"/>
      <c r="C30" s="3"/>
      <c r="D30" s="3"/>
      <c r="E30" s="3"/>
      <c r="F30" s="3"/>
      <c r="G30" s="3"/>
      <c r="H30" s="3"/>
      <c r="I30" s="100"/>
      <c r="J30" s="134">
        <f t="shared" si="5"/>
        <v>23.742944603363643</v>
      </c>
      <c r="K30" s="135">
        <f t="shared" si="0"/>
        <v>0.41439255744731468</v>
      </c>
      <c r="L30" s="135">
        <f t="shared" si="3"/>
        <v>69.203218110787603</v>
      </c>
      <c r="M30" s="135">
        <f t="shared" si="4"/>
        <v>69.997446504213741</v>
      </c>
      <c r="N30" s="135">
        <f t="shared" si="1"/>
        <v>69.549109163222596</v>
      </c>
      <c r="O30" s="136">
        <f t="shared" si="2"/>
        <v>-69.203218110787603</v>
      </c>
      <c r="P30" s="137">
        <f t="shared" si="2"/>
        <v>-69.997446504213741</v>
      </c>
      <c r="Q30" s="138">
        <f t="shared" si="2"/>
        <v>-69.549109163222596</v>
      </c>
      <c r="R30" s="139"/>
      <c r="S30" s="3"/>
      <c r="T30" s="3"/>
    </row>
    <row r="31" spans="1:20" ht="16" customHeight="1">
      <c r="A31" s="3"/>
      <c r="B31" s="3"/>
      <c r="C31" s="3"/>
      <c r="D31" s="3"/>
      <c r="E31" s="3"/>
      <c r="F31" s="3"/>
      <c r="G31" s="3"/>
      <c r="H31" s="3"/>
      <c r="I31" s="100"/>
      <c r="J31" s="134">
        <f t="shared" si="5"/>
        <v>23.692944603363642</v>
      </c>
      <c r="K31" s="135">
        <f t="shared" si="0"/>
        <v>0.41351989282131751</v>
      </c>
      <c r="L31" s="135">
        <f t="shared" si="3"/>
        <v>69.231042655571372</v>
      </c>
      <c r="M31" s="135">
        <f t="shared" si="4"/>
        <v>69.955399501206699</v>
      </c>
      <c r="N31" s="135">
        <f t="shared" si="1"/>
        <v>69.576419131477422</v>
      </c>
      <c r="O31" s="136">
        <f t="shared" si="2"/>
        <v>-69.231042655571372</v>
      </c>
      <c r="P31" s="137">
        <f t="shared" si="2"/>
        <v>-69.955399501206699</v>
      </c>
      <c r="Q31" s="138">
        <f t="shared" si="2"/>
        <v>-69.576419131477422</v>
      </c>
      <c r="R31" s="139"/>
      <c r="S31" s="3"/>
      <c r="T31" s="3"/>
    </row>
    <row r="32" spans="1:20" ht="16" customHeight="1">
      <c r="A32" s="3"/>
      <c r="B32" s="3"/>
      <c r="C32" s="3"/>
      <c r="D32" s="3"/>
      <c r="E32" s="3"/>
      <c r="F32" s="3"/>
      <c r="G32" s="3"/>
      <c r="H32" s="3"/>
      <c r="I32" s="100"/>
      <c r="J32" s="134">
        <f t="shared" si="5"/>
        <v>23.642944603363642</v>
      </c>
      <c r="K32" s="135">
        <f t="shared" si="0"/>
        <v>0.41264722819532035</v>
      </c>
      <c r="L32" s="135">
        <f t="shared" si="3"/>
        <v>69.258705017026941</v>
      </c>
      <c r="M32" s="135">
        <f t="shared" si="4"/>
        <v>69.913648503824163</v>
      </c>
      <c r="N32" s="135">
        <f t="shared" si="1"/>
        <v>69.603570707962689</v>
      </c>
      <c r="O32" s="136">
        <f t="shared" si="2"/>
        <v>-69.258705017026941</v>
      </c>
      <c r="P32" s="137">
        <f t="shared" si="2"/>
        <v>-69.913648503824163</v>
      </c>
      <c r="Q32" s="138">
        <f t="shared" si="2"/>
        <v>-69.603570707962689</v>
      </c>
      <c r="R32" s="139"/>
      <c r="S32" s="3"/>
      <c r="T32" s="3"/>
    </row>
    <row r="33" spans="1:20" ht="16" customHeight="1">
      <c r="A33" s="3"/>
      <c r="B33" s="3"/>
      <c r="C33" s="3"/>
      <c r="D33" s="3"/>
      <c r="E33" s="3"/>
      <c r="F33" s="3"/>
      <c r="G33" s="3"/>
      <c r="H33" s="3"/>
      <c r="I33" s="100"/>
      <c r="J33" s="134">
        <f t="shared" si="5"/>
        <v>23.592944603363641</v>
      </c>
      <c r="K33" s="135">
        <f t="shared" si="0"/>
        <v>0.41177456356932318</v>
      </c>
      <c r="L33" s="135">
        <f t="shared" si="3"/>
        <v>69.2862059361577</v>
      </c>
      <c r="M33" s="135">
        <f t="shared" si="4"/>
        <v>69.872191026998038</v>
      </c>
      <c r="N33" s="135">
        <f t="shared" si="1"/>
        <v>69.630564599173084</v>
      </c>
      <c r="O33" s="136">
        <f t="shared" si="2"/>
        <v>-69.2862059361577</v>
      </c>
      <c r="P33" s="137">
        <f t="shared" si="2"/>
        <v>-69.872191026998038</v>
      </c>
      <c r="Q33" s="138">
        <f t="shared" si="2"/>
        <v>-69.630564599173084</v>
      </c>
      <c r="R33" s="139"/>
      <c r="S33" s="3"/>
      <c r="T33" s="3"/>
    </row>
    <row r="34" spans="1:20" ht="16" customHeight="1">
      <c r="A34" s="3"/>
      <c r="B34" s="3"/>
      <c r="C34" s="3"/>
      <c r="D34" s="3"/>
      <c r="E34" s="3"/>
      <c r="F34" s="3"/>
      <c r="G34" s="3"/>
      <c r="H34" s="3"/>
      <c r="I34" s="100"/>
      <c r="J34" s="134">
        <f t="shared" si="5"/>
        <v>23.54294460336364</v>
      </c>
      <c r="K34" s="135">
        <f t="shared" si="0"/>
        <v>0.41090189894332602</v>
      </c>
      <c r="L34" s="135">
        <f t="shared" si="3"/>
        <v>69.313546146537334</v>
      </c>
      <c r="M34" s="135">
        <f t="shared" si="4"/>
        <v>69.831024627081902</v>
      </c>
      <c r="N34" s="135">
        <f t="shared" si="1"/>
        <v>69.657401504653592</v>
      </c>
      <c r="O34" s="136">
        <f t="shared" si="2"/>
        <v>-69.313546146537334</v>
      </c>
      <c r="P34" s="137">
        <f t="shared" si="2"/>
        <v>-69.831024627081902</v>
      </c>
      <c r="Q34" s="138">
        <f t="shared" si="2"/>
        <v>-69.657401504653592</v>
      </c>
      <c r="R34" s="139"/>
      <c r="S34" s="3"/>
      <c r="T34" s="3"/>
    </row>
    <row r="35" spans="1:20" ht="16" customHeight="1">
      <c r="A35" s="3"/>
      <c r="B35" s="3"/>
      <c r="C35" s="3"/>
      <c r="D35" s="3"/>
      <c r="E35" s="3"/>
      <c r="F35" s="3"/>
      <c r="G35" s="3"/>
      <c r="H35" s="3"/>
      <c r="I35" s="100"/>
      <c r="J35" s="134">
        <f t="shared" si="5"/>
        <v>23.49294460336364</v>
      </c>
      <c r="K35" s="135">
        <f t="shared" si="0"/>
        <v>0.41002923431732879</v>
      </c>
      <c r="L35" s="135">
        <f t="shared" si="3"/>
        <v>69.34072637440552</v>
      </c>
      <c r="M35" s="135">
        <f t="shared" si="4"/>
        <v>69.790146900902045</v>
      </c>
      <c r="N35" s="135">
        <f t="shared" si="1"/>
        <v>69.684082117086803</v>
      </c>
      <c r="O35" s="136">
        <f t="shared" si="2"/>
        <v>-69.34072637440552</v>
      </c>
      <c r="P35" s="137">
        <f t="shared" si="2"/>
        <v>-69.790146900902045</v>
      </c>
      <c r="Q35" s="138">
        <f t="shared" si="2"/>
        <v>-69.684082117086803</v>
      </c>
      <c r="R35" s="139"/>
      <c r="S35" s="3"/>
      <c r="T35" s="3"/>
    </row>
    <row r="36" spans="1:20">
      <c r="A36" s="3"/>
      <c r="B36" s="3"/>
      <c r="C36" s="3"/>
      <c r="D36" s="3"/>
      <c r="E36" s="3"/>
      <c r="F36" s="3"/>
      <c r="G36" s="3"/>
      <c r="H36" s="3"/>
      <c r="I36" s="100"/>
      <c r="J36" s="134">
        <f>J37+$M$11</f>
        <v>23.442944603363639</v>
      </c>
      <c r="K36" s="135">
        <f t="shared" si="0"/>
        <v>0.40915656969133163</v>
      </c>
      <c r="L36" s="135">
        <f t="shared" si="3"/>
        <v>69.367747338761745</v>
      </c>
      <c r="M36" s="135">
        <f t="shared" si="4"/>
        <v>69.749555484836506</v>
      </c>
      <c r="N36" s="135">
        <f t="shared" si="1"/>
        <v>69.71060712237896</v>
      </c>
      <c r="O36" s="136">
        <f t="shared" si="2"/>
        <v>-69.367747338761745</v>
      </c>
      <c r="P36" s="137">
        <f t="shared" si="2"/>
        <v>-69.749555484836506</v>
      </c>
      <c r="Q36" s="138">
        <f t="shared" si="2"/>
        <v>-69.71060712237896</v>
      </c>
      <c r="R36" s="139"/>
      <c r="S36" s="3"/>
      <c r="T36" s="3"/>
    </row>
    <row r="37" spans="1:20">
      <c r="A37" s="3"/>
      <c r="B37" s="3"/>
      <c r="C37" s="3"/>
      <c r="D37" s="3"/>
      <c r="E37" s="3"/>
      <c r="F37" s="3"/>
      <c r="G37" s="3"/>
      <c r="H37" s="3"/>
      <c r="I37" s="100"/>
      <c r="J37" s="134">
        <f>J38+$M$11</f>
        <v>23.392944603363638</v>
      </c>
      <c r="K37" s="135">
        <f>RADIANS(J37)</f>
        <v>0.40828390506533446</v>
      </c>
      <c r="L37" s="135">
        <f t="shared" si="3"/>
        <v>69.394609751457736</v>
      </c>
      <c r="M37" s="135">
        <f t="shared" si="4"/>
        <v>69.709248053921542</v>
      </c>
      <c r="N37" s="135">
        <f t="shared" si="1"/>
        <v>69.736977199744018</v>
      </c>
      <c r="O37" s="136">
        <f t="shared" si="2"/>
        <v>-69.394609751457736</v>
      </c>
      <c r="P37" s="137">
        <f t="shared" si="2"/>
        <v>-69.709248053921542</v>
      </c>
      <c r="Q37" s="138">
        <f t="shared" si="2"/>
        <v>-69.736977199744018</v>
      </c>
      <c r="R37" s="139"/>
      <c r="S37" s="3"/>
      <c r="T37" s="3"/>
    </row>
    <row r="38" spans="1:20">
      <c r="A38" s="3"/>
      <c r="B38" s="3"/>
      <c r="C38" s="3"/>
      <c r="D38" s="3"/>
      <c r="E38" s="3"/>
      <c r="F38" s="3"/>
      <c r="G38" s="3"/>
      <c r="H38" s="3"/>
      <c r="I38" s="100"/>
      <c r="J38" s="140">
        <f>lat-vb/2</f>
        <v>23.342944603363637</v>
      </c>
      <c r="K38" s="141">
        <f>RADIANS(J38)</f>
        <v>0.4074112404393373</v>
      </c>
      <c r="L38" s="141">
        <f t="shared" si="3"/>
        <v>69.42131431728815</v>
      </c>
      <c r="M38" s="141">
        <f t="shared" si="4"/>
        <v>69.66922232098463</v>
      </c>
      <c r="N38" s="141">
        <f t="shared" si="1"/>
        <v>69.763193021786762</v>
      </c>
      <c r="O38" s="142">
        <f>IF(L38&lt;0,ABS(L38),IF(L38&gt;360,-(L38-360),IF(AND(L38&gt;180,L38&lt;360),360-L38,-L38)))</f>
        <v>-69.42131431728815</v>
      </c>
      <c r="P38" s="143">
        <f t="shared" si="2"/>
        <v>-69.66922232098463</v>
      </c>
      <c r="Q38" s="144">
        <f t="shared" si="2"/>
        <v>-69.763193021786762</v>
      </c>
      <c r="R38" s="139"/>
      <c r="S38" s="3"/>
      <c r="T38" s="3"/>
    </row>
    <row r="39" spans="1:20">
      <c r="A39" s="3"/>
      <c r="B39" s="3"/>
      <c r="C39" s="3"/>
      <c r="D39" s="3"/>
      <c r="E39" s="3"/>
      <c r="F39" s="3"/>
      <c r="G39" s="3"/>
      <c r="H39" s="3"/>
      <c r="I39" s="100"/>
      <c r="J39" s="134">
        <f t="shared" ref="J39:J58" si="6">J38-$M$11</f>
        <v>23.292944603363637</v>
      </c>
      <c r="K39" s="135">
        <f t="shared" si="0"/>
        <v>0.40653857581334013</v>
      </c>
      <c r="L39" s="135">
        <f t="shared" si="3"/>
        <v>69.447861734079908</v>
      </c>
      <c r="M39" s="135">
        <f t="shared" si="4"/>
        <v>69.629476035802028</v>
      </c>
      <c r="N39" s="135">
        <f t="shared" si="1"/>
        <v>69.789255254584532</v>
      </c>
      <c r="O39" s="136">
        <f t="shared" si="2"/>
        <v>-69.447861734079908</v>
      </c>
      <c r="P39" s="137">
        <f t="shared" si="2"/>
        <v>-69.629476035802028</v>
      </c>
      <c r="Q39" s="138">
        <f t="shared" si="2"/>
        <v>-69.789255254584532</v>
      </c>
      <c r="R39" s="139"/>
      <c r="S39" s="3"/>
      <c r="T39" s="3"/>
    </row>
    <row r="40" spans="1:20">
      <c r="A40" s="3"/>
      <c r="B40" s="3"/>
      <c r="C40" s="3"/>
      <c r="D40" s="3"/>
      <c r="E40" s="3"/>
      <c r="F40" s="3"/>
      <c r="G40" s="3"/>
      <c r="H40" s="3"/>
      <c r="I40" s="100"/>
      <c r="J40" s="134">
        <f t="shared" si="6"/>
        <v>23.242944603363636</v>
      </c>
      <c r="K40" s="135">
        <f t="shared" si="0"/>
        <v>0.40566591118734291</v>
      </c>
      <c r="L40" s="135">
        <f t="shared" si="3"/>
        <v>69.474252692779558</v>
      </c>
      <c r="M40" s="135">
        <f t="shared" si="4"/>
        <v>69.590006984281516</v>
      </c>
      <c r="N40" s="135">
        <f t="shared" si="1"/>
        <v>69.815164557767147</v>
      </c>
      <c r="O40" s="136">
        <f t="shared" si="2"/>
        <v>-69.474252692779558</v>
      </c>
      <c r="P40" s="137">
        <f t="shared" si="2"/>
        <v>-69.590006984281516</v>
      </c>
      <c r="Q40" s="138">
        <f t="shared" si="2"/>
        <v>-69.815164557767147</v>
      </c>
      <c r="R40" s="139"/>
      <c r="S40" s="3"/>
      <c r="T40" s="3"/>
    </row>
    <row r="41" spans="1:20">
      <c r="A41" s="3"/>
      <c r="B41" s="3"/>
      <c r="C41" s="3"/>
      <c r="D41" s="3"/>
      <c r="E41" s="3"/>
      <c r="F41" s="3"/>
      <c r="G41" s="3"/>
      <c r="H41" s="3"/>
      <c r="I41" s="100"/>
      <c r="J41" s="134">
        <f t="shared" si="6"/>
        <v>23.192944603363635</v>
      </c>
      <c r="K41" s="135">
        <f t="shared" si="0"/>
        <v>0.40479324656134574</v>
      </c>
      <c r="L41" s="135">
        <f t="shared" si="3"/>
        <v>69.50048787753974</v>
      </c>
      <c r="M41" s="135">
        <f t="shared" si="4"/>
        <v>69.550812987668436</v>
      </c>
      <c r="N41" s="135">
        <f t="shared" si="1"/>
        <v>69.84092158459606</v>
      </c>
      <c r="O41" s="136">
        <f t="shared" ref="O41:Q58" si="7">IF(L41&lt;0,ABS(L41),IF(L41&gt;360,-(L41-360),IF(AND(L41&gt;180,L41&lt;360),360-L41,-L41)))</f>
        <v>-69.50048787753974</v>
      </c>
      <c r="P41" s="137">
        <f t="shared" si="7"/>
        <v>-69.550812987668436</v>
      </c>
      <c r="Q41" s="138">
        <f t="shared" si="7"/>
        <v>-69.84092158459606</v>
      </c>
      <c r="R41" s="139"/>
      <c r="S41" s="3"/>
      <c r="T41" s="3"/>
    </row>
    <row r="42" spans="1:20">
      <c r="A42" s="3"/>
      <c r="B42" s="3"/>
      <c r="C42" s="3"/>
      <c r="D42" s="3"/>
      <c r="E42" s="3"/>
      <c r="F42" s="3"/>
      <c r="G42" s="3"/>
      <c r="H42" s="3"/>
      <c r="I42" s="61"/>
      <c r="J42" s="134">
        <f t="shared" si="6"/>
        <v>23.142944603363635</v>
      </c>
      <c r="K42" s="135">
        <f t="shared" si="0"/>
        <v>0.40392058193534858</v>
      </c>
      <c r="L42" s="135">
        <f t="shared" si="3"/>
        <v>69.526567965803764</v>
      </c>
      <c r="M42" s="135">
        <f t="shared" si="4"/>
        <v>69.511891901774234</v>
      </c>
      <c r="N42" s="135">
        <f t="shared" si="1"/>
        <v>69.866526982041634</v>
      </c>
      <c r="O42" s="136">
        <f t="shared" si="7"/>
        <v>-69.526567965803764</v>
      </c>
      <c r="P42" s="137">
        <f t="shared" si="7"/>
        <v>-69.511891901774234</v>
      </c>
      <c r="Q42" s="138">
        <f t="shared" si="7"/>
        <v>-69.866526982041634</v>
      </c>
      <c r="R42" s="139"/>
      <c r="S42" s="3"/>
      <c r="T42" s="3"/>
    </row>
    <row r="43" spans="1:20">
      <c r="A43" s="3"/>
      <c r="B43" s="3"/>
      <c r="C43" s="3"/>
      <c r="D43" s="3"/>
      <c r="E43" s="3"/>
      <c r="F43" s="3"/>
      <c r="G43" s="3"/>
      <c r="H43" s="3"/>
      <c r="I43" s="100"/>
      <c r="J43" s="134">
        <f t="shared" si="6"/>
        <v>23.092944603363634</v>
      </c>
      <c r="K43" s="135">
        <f t="shared" si="0"/>
        <v>0.40304791730935141</v>
      </c>
      <c r="L43" s="135">
        <f t="shared" ref="L43:L58" si="8">IFERROR(DEGREES(grt+IF(B="W",-1,1)*ACOS((SIN(h)-SIN(d)*SIN(K43))/COS(d)/COS(K43))),#N/A)</f>
        <v>69.552493628388888</v>
      </c>
      <c r="M43" s="135">
        <f t="shared" si="4"/>
        <v>69.473241616227298</v>
      </c>
      <c r="N43" s="135">
        <f t="shared" si="1"/>
        <v>69.891981390859712</v>
      </c>
      <c r="O43" s="136">
        <f t="shared" si="7"/>
        <v>-69.552493628388888</v>
      </c>
      <c r="P43" s="137">
        <f t="shared" si="7"/>
        <v>-69.473241616227298</v>
      </c>
      <c r="Q43" s="138">
        <f t="shared" si="7"/>
        <v>-69.891981390859712</v>
      </c>
      <c r="R43" s="139"/>
      <c r="S43" s="3"/>
      <c r="T43" s="3"/>
    </row>
    <row r="44" spans="1:20">
      <c r="A44" s="3"/>
      <c r="B44" s="3"/>
      <c r="C44" s="3"/>
      <c r="D44" s="3"/>
      <c r="E44" s="3"/>
      <c r="F44" s="3"/>
      <c r="G44" s="3"/>
      <c r="H44" s="3"/>
      <c r="I44" s="100"/>
      <c r="J44" s="134">
        <f t="shared" si="6"/>
        <v>23.042944603363633</v>
      </c>
      <c r="K44" s="135">
        <f t="shared" si="0"/>
        <v>0.40217525268335425</v>
      </c>
      <c r="L44" s="135">
        <f t="shared" si="8"/>
        <v>69.57826552956827</v>
      </c>
      <c r="M44" s="135">
        <f t="shared" si="4"/>
        <v>69.434860053744771</v>
      </c>
      <c r="N44" s="135">
        <f t="shared" si="1"/>
        <v>69.91728544566638</v>
      </c>
      <c r="O44" s="136">
        <f t="shared" si="7"/>
        <v>-69.57826552956827</v>
      </c>
      <c r="P44" s="137">
        <f t="shared" si="7"/>
        <v>-69.434860053744771</v>
      </c>
      <c r="Q44" s="138">
        <f t="shared" si="7"/>
        <v>-69.91728544566638</v>
      </c>
      <c r="R44" s="139"/>
      <c r="S44" s="3"/>
      <c r="T44" s="3"/>
    </row>
    <row r="45" spans="1:20">
      <c r="A45" s="3"/>
      <c r="B45" s="3"/>
      <c r="C45" s="3"/>
      <c r="D45" s="3"/>
      <c r="E45" s="3"/>
      <c r="F45" s="3"/>
      <c r="G45" s="3"/>
      <c r="H45" s="3"/>
      <c r="I45" s="100"/>
      <c r="J45" s="134">
        <f t="shared" si="6"/>
        <v>22.992944603363632</v>
      </c>
      <c r="K45" s="135">
        <f t="shared" si="0"/>
        <v>0.40130258805735702</v>
      </c>
      <c r="L45" s="135">
        <f t="shared" si="8"/>
        <v>69.603884327151462</v>
      </c>
      <c r="M45" s="135">
        <f t="shared" si="4"/>
        <v>69.396745169424904</v>
      </c>
      <c r="N45" s="135">
        <f t="shared" si="1"/>
        <v>69.942439775012119</v>
      </c>
      <c r="O45" s="136">
        <f t="shared" si="7"/>
        <v>-69.603884327151462</v>
      </c>
      <c r="P45" s="137">
        <f t="shared" si="7"/>
        <v>-69.396745169424904</v>
      </c>
      <c r="Q45" s="138">
        <f t="shared" si="7"/>
        <v>-69.942439775012119</v>
      </c>
      <c r="R45" s="139"/>
      <c r="S45" s="3"/>
      <c r="T45" s="3"/>
    </row>
    <row r="46" spans="1:20">
      <c r="A46" s="3"/>
      <c r="B46" s="3"/>
      <c r="C46" s="3"/>
      <c r="D46" s="3"/>
      <c r="E46" s="3"/>
      <c r="F46" s="3"/>
      <c r="G46" s="3"/>
      <c r="H46" s="3"/>
      <c r="I46" s="100"/>
      <c r="J46" s="134">
        <f t="shared" si="6"/>
        <v>22.942944603363632</v>
      </c>
      <c r="K46" s="135">
        <f t="shared" si="0"/>
        <v>0.40042992343135986</v>
      </c>
      <c r="L46" s="135">
        <f t="shared" si="8"/>
        <v>69.62935067256349</v>
      </c>
      <c r="M46" s="135">
        <f t="shared" si="4"/>
        <v>69.358894950059025</v>
      </c>
      <c r="N46" s="135">
        <f t="shared" si="1"/>
        <v>69.967445001453939</v>
      </c>
      <c r="O46" s="136">
        <f t="shared" si="7"/>
        <v>-69.62935067256349</v>
      </c>
      <c r="P46" s="137">
        <f t="shared" si="7"/>
        <v>-69.358894950059025</v>
      </c>
      <c r="Q46" s="138">
        <f t="shared" si="7"/>
        <v>-69.967445001453939</v>
      </c>
      <c r="R46" s="139"/>
      <c r="S46" s="3"/>
      <c r="T46" s="3"/>
    </row>
    <row r="47" spans="1:20">
      <c r="A47" s="3"/>
      <c r="B47" s="3"/>
      <c r="C47" s="3"/>
      <c r="D47" s="3"/>
      <c r="E47" s="3"/>
      <c r="F47" s="3"/>
      <c r="G47" s="3"/>
      <c r="H47" s="3"/>
      <c r="I47" s="100"/>
      <c r="J47" s="134">
        <f t="shared" si="6"/>
        <v>22.892944603363631</v>
      </c>
      <c r="K47" s="135">
        <f t="shared" si="0"/>
        <v>0.39955725880536269</v>
      </c>
      <c r="L47" s="135">
        <f t="shared" si="8"/>
        <v>69.654665210922872</v>
      </c>
      <c r="M47" s="135">
        <f t="shared" si="4"/>
        <v>69.321307413462776</v>
      </c>
      <c r="N47" s="135">
        <f t="shared" si="1"/>
        <v>69.992301741627173</v>
      </c>
      <c r="O47" s="136">
        <f t="shared" si="7"/>
        <v>-69.654665210922872</v>
      </c>
      <c r="P47" s="137">
        <f t="shared" si="7"/>
        <v>-69.321307413462776</v>
      </c>
      <c r="Q47" s="138">
        <f t="shared" si="7"/>
        <v>-69.992301741627173</v>
      </c>
      <c r="R47" s="139"/>
      <c r="S47" s="3"/>
      <c r="T47" s="3"/>
    </row>
    <row r="48" spans="1:20">
      <c r="A48" s="3"/>
      <c r="B48" s="3"/>
      <c r="C48" s="3"/>
      <c r="D48" s="3"/>
      <c r="E48" s="3"/>
      <c r="F48" s="3"/>
      <c r="G48" s="3"/>
      <c r="H48" s="3"/>
      <c r="I48" s="100"/>
      <c r="J48" s="134">
        <f t="shared" si="6"/>
        <v>22.84294460336363</v>
      </c>
      <c r="K48" s="135">
        <f t="shared" si="0"/>
        <v>0.39868459417936553</v>
      </c>
      <c r="L48" s="135">
        <f t="shared" si="8"/>
        <v>69.679828581117945</v>
      </c>
      <c r="M48" s="135">
        <f t="shared" si="4"/>
        <v>69.283980607825754</v>
      </c>
      <c r="N48" s="135">
        <f t="shared" si="1"/>
        <v>70.017010606315537</v>
      </c>
      <c r="O48" s="136">
        <f t="shared" si="7"/>
        <v>-69.679828581117945</v>
      </c>
      <c r="P48" s="137">
        <f t="shared" si="7"/>
        <v>-69.283980607825754</v>
      </c>
      <c r="Q48" s="138">
        <f t="shared" si="7"/>
        <v>-70.017010606315537</v>
      </c>
      <c r="R48" s="139"/>
      <c r="S48" s="3"/>
      <c r="T48" s="3"/>
    </row>
    <row r="49" spans="1:20">
      <c r="A49" s="3"/>
      <c r="B49" s="3"/>
      <c r="C49" s="3"/>
      <c r="D49" s="3"/>
      <c r="E49" s="3"/>
      <c r="F49" s="3"/>
      <c r="G49" s="3"/>
      <c r="H49" s="3"/>
      <c r="I49" s="100"/>
      <c r="J49" s="134">
        <f t="shared" si="6"/>
        <v>22.79294460336363</v>
      </c>
      <c r="K49" s="135">
        <f t="shared" si="0"/>
        <v>0.39781192955336836</v>
      </c>
      <c r="L49" s="135">
        <f t="shared" si="8"/>
        <v>69.704841415882385</v>
      </c>
      <c r="M49" s="135">
        <f t="shared" si="4"/>
        <v>69.24691261107867</v>
      </c>
      <c r="N49" s="135">
        <f t="shared" si="1"/>
        <v>70.041572200520207</v>
      </c>
      <c r="O49" s="136">
        <f t="shared" si="7"/>
        <v>-69.704841415882385</v>
      </c>
      <c r="P49" s="137">
        <f t="shared" si="7"/>
        <v>-69.24691261107867</v>
      </c>
      <c r="Q49" s="138">
        <f t="shared" si="7"/>
        <v>-70.041572200520207</v>
      </c>
      <c r="R49" s="139"/>
      <c r="S49" s="3"/>
      <c r="T49" s="3"/>
    </row>
    <row r="50" spans="1:20">
      <c r="A50" s="3"/>
      <c r="B50" s="3"/>
      <c r="C50" s="3"/>
      <c r="D50" s="3"/>
      <c r="E50" s="3"/>
      <c r="F50" s="3"/>
      <c r="G50" s="3"/>
      <c r="H50" s="3"/>
      <c r="I50" s="100"/>
      <c r="J50" s="134">
        <f t="shared" si="6"/>
        <v>22.742944603363629</v>
      </c>
      <c r="K50" s="135">
        <f t="shared" si="0"/>
        <v>0.39693926492737114</v>
      </c>
      <c r="L50" s="135">
        <f t="shared" si="8"/>
        <v>69.72970434186918</v>
      </c>
      <c r="M50" s="135">
        <f t="shared" si="4"/>
        <v>69.210101530278237</v>
      </c>
      <c r="N50" s="135">
        <f t="shared" si="1"/>
        <v>70.06598712352806</v>
      </c>
      <c r="O50" s="136">
        <f t="shared" si="7"/>
        <v>-69.72970434186918</v>
      </c>
      <c r="P50" s="137">
        <f t="shared" si="7"/>
        <v>-69.210101530278237</v>
      </c>
      <c r="Q50" s="138">
        <f t="shared" si="7"/>
        <v>-70.06598712352806</v>
      </c>
      <c r="R50" s="139"/>
      <c r="S50" s="3"/>
      <c r="T50" s="3"/>
    </row>
    <row r="51" spans="1:20">
      <c r="A51" s="3"/>
      <c r="B51" s="3"/>
      <c r="C51" s="3"/>
      <c r="D51" s="3"/>
      <c r="E51" s="3"/>
      <c r="F51" s="3"/>
      <c r="G51" s="3"/>
      <c r="H51" s="3"/>
      <c r="I51" s="100"/>
      <c r="J51" s="134">
        <f t="shared" si="6"/>
        <v>22.692944603363628</v>
      </c>
      <c r="K51" s="135">
        <f t="shared" si="0"/>
        <v>0.39606660030137397</v>
      </c>
      <c r="L51" s="135">
        <f t="shared" si="8"/>
        <v>69.754417979723385</v>
      </c>
      <c r="M51" s="135">
        <f t="shared" si="4"/>
        <v>69.173545501008348</v>
      </c>
      <c r="N51" s="135">
        <f t="shared" si="1"/>
        <v>70.090255968978227</v>
      </c>
      <c r="O51" s="136">
        <f t="shared" si="7"/>
        <v>-69.754417979723385</v>
      </c>
      <c r="P51" s="137">
        <f t="shared" si="7"/>
        <v>-69.173545501008348</v>
      </c>
      <c r="Q51" s="138">
        <f t="shared" si="7"/>
        <v>-70.090255968978227</v>
      </c>
      <c r="R51" s="139"/>
      <c r="S51" s="3"/>
      <c r="T51" s="3"/>
    </row>
    <row r="52" spans="1:20">
      <c r="A52" s="3"/>
      <c r="B52" s="3"/>
      <c r="C52" s="3"/>
      <c r="D52" s="3"/>
      <c r="E52" s="3"/>
      <c r="F52" s="3"/>
      <c r="G52" s="3"/>
      <c r="H52" s="3"/>
      <c r="I52" s="100"/>
      <c r="J52" s="134">
        <f t="shared" si="6"/>
        <v>22.642944603363627</v>
      </c>
      <c r="K52" s="135">
        <f t="shared" si="0"/>
        <v>0.39519393567537681</v>
      </c>
      <c r="L52" s="135">
        <f t="shared" si="8"/>
        <v>69.778982944153924</v>
      </c>
      <c r="M52" s="135">
        <f t="shared" si="4"/>
        <v>69.13724268679735</v>
      </c>
      <c r="N52" s="135">
        <f t="shared" si="1"/>
        <v>70.114379324928194</v>
      </c>
      <c r="O52" s="136">
        <f t="shared" si="7"/>
        <v>-69.778982944153924</v>
      </c>
      <c r="P52" s="137">
        <f t="shared" si="7"/>
        <v>-69.13724268679735</v>
      </c>
      <c r="Q52" s="138">
        <f t="shared" si="7"/>
        <v>-70.114379324928194</v>
      </c>
      <c r="R52" s="139"/>
      <c r="S52" s="3"/>
      <c r="T52" s="3"/>
    </row>
    <row r="53" spans="1:20">
      <c r="A53" s="3"/>
      <c r="B53" s="3"/>
      <c r="C53" s="3"/>
      <c r="D53" s="3"/>
      <c r="E53" s="3"/>
      <c r="F53" s="3"/>
      <c r="G53" s="3"/>
      <c r="H53" s="3"/>
      <c r="I53" s="100"/>
      <c r="J53" s="134">
        <f t="shared" si="6"/>
        <v>22.592944603363627</v>
      </c>
      <c r="K53" s="135">
        <f t="shared" si="0"/>
        <v>0.39432127104937964</v>
      </c>
      <c r="L53" s="135">
        <f t="shared" si="8"/>
        <v>69.803399844003934</v>
      </c>
      <c r="M53" s="135">
        <f t="shared" si="4"/>
        <v>69.101191278551184</v>
      </c>
      <c r="N53" s="135">
        <f t="shared" si="1"/>
        <v>70.138357773918543</v>
      </c>
      <c r="O53" s="136">
        <f t="shared" si="7"/>
        <v>-69.803399844003934</v>
      </c>
      <c r="P53" s="137">
        <f t="shared" si="7"/>
        <v>-69.101191278551184</v>
      </c>
      <c r="Q53" s="138">
        <f t="shared" si="7"/>
        <v>-70.138357773918543</v>
      </c>
      <c r="R53" s="139"/>
      <c r="S53" s="3"/>
      <c r="T53" s="3"/>
    </row>
    <row r="54" spans="1:20">
      <c r="A54" s="3"/>
      <c r="B54" s="3"/>
      <c r="C54" s="3"/>
      <c r="D54" s="3"/>
      <c r="E54" s="3"/>
      <c r="F54" s="3"/>
      <c r="G54" s="3"/>
      <c r="H54" s="3"/>
      <c r="I54" s="100"/>
      <c r="J54" s="134">
        <f t="shared" si="6"/>
        <v>22.542944603363626</v>
      </c>
      <c r="K54" s="135">
        <f t="shared" si="0"/>
        <v>0.39344860642338247</v>
      </c>
      <c r="L54" s="135">
        <f t="shared" si="8"/>
        <v>69.82766928232023</v>
      </c>
      <c r="M54" s="135">
        <f t="shared" si="4"/>
        <v>69.065389494001252</v>
      </c>
      <c r="N54" s="135">
        <f t="shared" si="1"/>
        <v>70.162191893036521</v>
      </c>
      <c r="O54" s="136">
        <f t="shared" si="7"/>
        <v>-69.82766928232023</v>
      </c>
      <c r="P54" s="137">
        <f t="shared" si="7"/>
        <v>-69.065389494001252</v>
      </c>
      <c r="Q54" s="138">
        <f t="shared" si="7"/>
        <v>-70.162191893036521</v>
      </c>
      <c r="R54" s="139"/>
      <c r="S54" s="3"/>
      <c r="T54" s="3"/>
    </row>
    <row r="55" spans="1:20">
      <c r="A55" s="3"/>
      <c r="B55" s="3"/>
      <c r="C55" s="3"/>
      <c r="D55" s="3"/>
      <c r="E55" s="3"/>
      <c r="F55" s="3"/>
      <c r="G55" s="3"/>
      <c r="H55" s="3"/>
      <c r="I55" s="100"/>
      <c r="J55" s="134">
        <f t="shared" si="6"/>
        <v>22.492944603363625</v>
      </c>
      <c r="K55" s="135">
        <f t="shared" si="0"/>
        <v>0.39257594179738525</v>
      </c>
      <c r="L55" s="135">
        <f t="shared" si="8"/>
        <v>69.851791856421357</v>
      </c>
      <c r="M55" s="135">
        <f t="shared" si="4"/>
        <v>69.029835577167177</v>
      </c>
      <c r="N55" s="135">
        <f t="shared" si="1"/>
        <v>70.185882253978988</v>
      </c>
      <c r="O55" s="136">
        <f t="shared" si="7"/>
        <v>-69.851791856421357</v>
      </c>
      <c r="P55" s="137">
        <f t="shared" si="7"/>
        <v>-69.029835577167177</v>
      </c>
      <c r="Q55" s="138">
        <f t="shared" si="7"/>
        <v>-70.185882253978988</v>
      </c>
      <c r="R55" s="139"/>
      <c r="S55" s="3"/>
      <c r="T55" s="3"/>
    </row>
    <row r="56" spans="1:20">
      <c r="A56" s="3"/>
      <c r="B56" s="3"/>
      <c r="C56" s="3"/>
      <c r="D56" s="3"/>
      <c r="E56" s="3"/>
      <c r="F56" s="3"/>
      <c r="G56" s="3"/>
      <c r="H56" s="3"/>
      <c r="I56" s="100"/>
      <c r="J56" s="134">
        <f t="shared" si="6"/>
        <v>22.442944603363625</v>
      </c>
      <c r="K56" s="135">
        <f t="shared" si="0"/>
        <v>0.39170327717138809</v>
      </c>
      <c r="L56" s="135">
        <f t="shared" si="8"/>
        <v>69.875768157964927</v>
      </c>
      <c r="M56" s="135">
        <f t="shared" si="4"/>
        <v>68.994527797833385</v>
      </c>
      <c r="N56" s="135">
        <f t="shared" si="1"/>
        <v>70.209429423114116</v>
      </c>
      <c r="O56" s="136">
        <f t="shared" si="7"/>
        <v>-69.875768157964927</v>
      </c>
      <c r="P56" s="137">
        <f t="shared" si="7"/>
        <v>-68.994527797833385</v>
      </c>
      <c r="Q56" s="138">
        <f t="shared" si="7"/>
        <v>-70.209429423114116</v>
      </c>
      <c r="R56" s="139"/>
      <c r="S56" s="3"/>
      <c r="T56" s="3"/>
    </row>
    <row r="57" spans="1:20">
      <c r="A57" s="3"/>
      <c r="B57" s="3"/>
      <c r="C57" s="3"/>
      <c r="D57" s="3"/>
      <c r="E57" s="3"/>
      <c r="F57" s="3"/>
      <c r="G57" s="3"/>
      <c r="H57" s="3"/>
      <c r="I57" s="100"/>
      <c r="J57" s="134">
        <f t="shared" si="6"/>
        <v>22.392944603363624</v>
      </c>
      <c r="K57" s="135">
        <f t="shared" si="0"/>
        <v>0.39083061254539092</v>
      </c>
      <c r="L57" s="135">
        <f t="shared" si="8"/>
        <v>69.899598773013508</v>
      </c>
      <c r="M57" s="135">
        <f t="shared" si="4"/>
        <v>68.959464451039494</v>
      </c>
      <c r="N57" s="135">
        <f t="shared" si="1"/>
        <v>70.232833961542042</v>
      </c>
      <c r="O57" s="136">
        <f t="shared" si="7"/>
        <v>-69.899598773013508</v>
      </c>
      <c r="P57" s="137">
        <f t="shared" si="7"/>
        <v>-68.959464451039494</v>
      </c>
      <c r="Q57" s="138">
        <f t="shared" si="7"/>
        <v>-70.232833961542042</v>
      </c>
      <c r="R57" s="139"/>
      <c r="S57" s="3"/>
      <c r="T57" s="3"/>
    </row>
    <row r="58" spans="1:20" ht="17" thickBot="1">
      <c r="A58" s="3"/>
      <c r="B58" s="3"/>
      <c r="C58" s="3"/>
      <c r="D58" s="3"/>
      <c r="E58" s="3"/>
      <c r="F58" s="3"/>
      <c r="G58" s="3"/>
      <c r="H58" s="3"/>
      <c r="I58" s="100"/>
      <c r="J58" s="134">
        <f t="shared" si="6"/>
        <v>22.342944603363623</v>
      </c>
      <c r="K58" s="135">
        <f t="shared" si="0"/>
        <v>0.38995794791939375</v>
      </c>
      <c r="L58" s="135">
        <f t="shared" si="8"/>
        <v>69.923284282099516</v>
      </c>
      <c r="M58" s="135">
        <f t="shared" si="4"/>
        <v>68.92464385658414</v>
      </c>
      <c r="N58" s="135">
        <f t="shared" si="1"/>
        <v>70.25609642515488</v>
      </c>
      <c r="O58" s="136">
        <f t="shared" si="7"/>
        <v>-69.923284282099516</v>
      </c>
      <c r="P58" s="137">
        <f t="shared" si="7"/>
        <v>-68.92464385658414</v>
      </c>
      <c r="Q58" s="138">
        <f t="shared" si="7"/>
        <v>-70.25609642515488</v>
      </c>
      <c r="R58" s="145"/>
      <c r="S58" s="3"/>
      <c r="T58" s="3"/>
    </row>
    <row r="59" spans="1:20">
      <c r="A59" s="3"/>
      <c r="B59" s="3"/>
      <c r="C59" s="3"/>
      <c r="D59" s="3"/>
      <c r="E59" s="3"/>
      <c r="F59" s="3"/>
      <c r="G59" s="3"/>
      <c r="H59" s="3"/>
      <c r="I59" s="100"/>
      <c r="J59" s="146">
        <f>J60-vb</f>
        <v>23.272111270030305</v>
      </c>
      <c r="K59" s="147"/>
      <c r="L59" s="148"/>
      <c r="M59" s="149"/>
      <c r="N59" s="149"/>
      <c r="O59" s="150"/>
      <c r="P59" s="151"/>
      <c r="Q59" s="152"/>
      <c r="R59" s="153">
        <f>R60-vl</f>
        <v>-69.458617364173094</v>
      </c>
      <c r="S59" s="3"/>
      <c r="T59" s="3"/>
    </row>
    <row r="60" spans="1:20" ht="17" thickBot="1">
      <c r="A60" s="3"/>
      <c r="B60" s="3"/>
      <c r="C60" s="3"/>
      <c r="D60" s="3"/>
      <c r="E60" s="3"/>
      <c r="F60" s="3"/>
      <c r="G60" s="3"/>
      <c r="H60" s="3"/>
      <c r="I60" s="100"/>
      <c r="J60" s="154">
        <f>lat</f>
        <v>23.41377793669697</v>
      </c>
      <c r="K60" s="155"/>
      <c r="L60" s="155"/>
      <c r="M60" s="156"/>
      <c r="N60" s="156"/>
      <c r="O60" s="157"/>
      <c r="P60" s="158"/>
      <c r="Q60" s="159"/>
      <c r="R60" s="160">
        <f>lon</f>
        <v>-69.726008452265447</v>
      </c>
      <c r="S60" s="3"/>
      <c r="T60" s="3"/>
    </row>
  </sheetData>
  <sheetProtection algorithmName="SHA-512" hashValue="SZUiOklXd19FhR5gG2MeHv7YIN5HiMSvv5fkMh3JM4ah9r7OQNCgmt4H27XLz3Abcf5DTkbaqCB3SDOjZ88q2Q==" saltValue="yf2nl3gxtmEjR5k3tFLWGg==" spinCount="100000" sheet="1" objects="1" scenarios="1" selectLockedCells="1" selectUnlockedCells="1"/>
  <mergeCells count="5">
    <mergeCell ref="F2:H2"/>
    <mergeCell ref="J7:L7"/>
    <mergeCell ref="J8:L8"/>
    <mergeCell ref="J9:L9"/>
    <mergeCell ref="J10:L10"/>
  </mergeCells>
  <pageMargins left="0.7" right="0.7" top="0.78740157499999996" bottom="0.78740157499999996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9D8222-9834-FD46-ABE7-86E1E4C4E4B4}">
  <dimension ref="B1:AE197"/>
  <sheetViews>
    <sheetView showGridLines="0" showRowColHeaders="0" workbookViewId="0">
      <selection activeCell="H32" sqref="H32"/>
    </sheetView>
  </sheetViews>
  <sheetFormatPr baseColWidth="10" defaultRowHeight="16"/>
  <cols>
    <col min="1" max="1" width="4.83203125" customWidth="1"/>
    <col min="11" max="11" width="10.83203125" customWidth="1"/>
    <col min="26" max="26" width="5.5" customWidth="1"/>
  </cols>
  <sheetData>
    <row r="1" spans="2:31" ht="17" thickBot="1"/>
    <row r="2" spans="2:31" ht="23" customHeight="1" thickBot="1">
      <c r="B2" s="307" t="s">
        <v>136</v>
      </c>
      <c r="C2" s="3"/>
      <c r="D2" s="3"/>
      <c r="E2" s="3"/>
      <c r="F2" s="3"/>
      <c r="G2" s="3"/>
      <c r="H2" s="408" t="s">
        <v>54</v>
      </c>
      <c r="I2" s="409"/>
      <c r="J2" s="410"/>
      <c r="K2" s="100"/>
    </row>
    <row r="3" spans="2:31" ht="16" customHeight="1"/>
    <row r="4" spans="2:31" ht="16" customHeight="1"/>
    <row r="5" spans="2:31" ht="20" customHeight="1" thickBot="1">
      <c r="M5" s="226" t="s">
        <v>137</v>
      </c>
      <c r="AA5" s="226" t="s">
        <v>123</v>
      </c>
      <c r="AB5" s="227"/>
      <c r="AC5" s="227"/>
      <c r="AD5" s="227"/>
      <c r="AE5" s="227"/>
    </row>
    <row r="6" spans="2:31" ht="19" thickBot="1">
      <c r="M6" s="207" t="s">
        <v>64</v>
      </c>
      <c r="N6" s="208" t="s">
        <v>113</v>
      </c>
      <c r="O6" s="209" t="s">
        <v>114</v>
      </c>
      <c r="P6" s="210" t="s">
        <v>115</v>
      </c>
      <c r="Q6" s="211" t="s">
        <v>116</v>
      </c>
      <c r="R6" s="211" t="s">
        <v>117</v>
      </c>
      <c r="S6" s="211" t="s">
        <v>118</v>
      </c>
      <c r="T6" s="212" t="s">
        <v>119</v>
      </c>
      <c r="U6" s="212" t="s">
        <v>120</v>
      </c>
      <c r="V6" s="212" t="s">
        <v>121</v>
      </c>
      <c r="W6" s="212" t="s">
        <v>122</v>
      </c>
      <c r="X6" s="212" t="s">
        <v>139</v>
      </c>
      <c r="Y6" s="213" t="s">
        <v>142</v>
      </c>
      <c r="AA6" s="228"/>
      <c r="AB6" s="229"/>
      <c r="AC6" s="230"/>
      <c r="AD6" s="231" t="s">
        <v>124</v>
      </c>
      <c r="AE6" s="232">
        <f>MAX(L8:L9)</f>
        <v>36.297845432992425</v>
      </c>
    </row>
    <row r="7" spans="2:31" ht="17" thickBot="1">
      <c r="M7" s="285"/>
      <c r="N7" s="286">
        <f>IF(MIN(L8:L9)=0,MAX(L8:L9)+1,MIN(L8:L9)+(add+2)*(step+0.0001))</f>
        <v>37.111859821836696</v>
      </c>
      <c r="O7" s="216"/>
      <c r="P7" s="214"/>
      <c r="Q7" s="215"/>
      <c r="R7" s="215"/>
      <c r="S7" s="216"/>
      <c r="T7" s="217"/>
      <c r="U7" s="218"/>
      <c r="V7" s="218"/>
      <c r="W7" s="270"/>
      <c r="X7" s="283"/>
      <c r="Y7" s="284"/>
      <c r="AA7" s="233"/>
      <c r="AB7" s="234"/>
      <c r="AC7" s="235"/>
      <c r="AD7" s="236" t="s">
        <v>125</v>
      </c>
      <c r="AE7" s="237">
        <f>MIN(L192:L193)</f>
        <v>-15.578339197041794</v>
      </c>
    </row>
    <row r="8" spans="2:31">
      <c r="L8" s="224">
        <f>IFERROR(90-DEGREES(h)+DEGREES(d)-0.01,0)</f>
        <v>36.297845432992425</v>
      </c>
      <c r="M8" s="287">
        <f>IF(N8&gt;maxn,maxn,IF(N8&lt;mins,mins,N8))</f>
        <v>36.297845432992425</v>
      </c>
      <c r="N8" s="288">
        <f>N7-step</f>
        <v>36.818340054697565</v>
      </c>
      <c r="O8" s="289">
        <f>RADIANS(M8)</f>
        <v>0.63351691418570455</v>
      </c>
      <c r="P8" s="219">
        <f>IFERROR(DEGREES(grt+ACOS((SIN(h)-SIN(d)*SIN(O8))/COS(d)/COS(O8))),#N/A)</f>
        <v>46.663214713314595</v>
      </c>
      <c r="Q8" s="219">
        <f>IFERROR(DEGREES(grt-ACOS((SIN(h)-SIN(d)*SIN(O8))/COS(d)/COS(O8))),#N/A)</f>
        <v>45.072827344302048</v>
      </c>
      <c r="R8" s="219" t="e">
        <f t="shared" ref="R8:R39" si="0">IFERROR(DEGREES(grt_+ACOS((SIN(h_)-SIN(d_)*SIN(O8))/COS(d_)/COS(O8))),#N/A)</f>
        <v>#N/A</v>
      </c>
      <c r="S8" s="220" t="e">
        <f t="shared" ref="S8:S39" si="1">IFERROR(DEGREES(grt_-ACOS((SIN(h_)-SIN(d_)*SIN(O8))/COS(d_)/COS(O8))),#N/A)</f>
        <v>#N/A</v>
      </c>
      <c r="T8" s="221">
        <f>IF(P8&lt;0,ABS(P8),IF(P8&gt;360,-(P8-360),IF(AND(P8&gt;180,P8&lt;360),ABS(360-P8),-P8)))</f>
        <v>-46.663214713314595</v>
      </c>
      <c r="U8" s="222">
        <f>IF(Q8&lt;0,ABS(Q8),IF(Q8&gt;360,Q8-(Q8-360),IF(AND(Q8&gt;180,Q8&lt;360),ABS(360-Q8),-Q8)))</f>
        <v>-45.072827344302048</v>
      </c>
      <c r="V8" s="223" t="e">
        <f>IF(R8&lt;0,ABS(R8),IF(R8&gt;360,-(R8-360),IF(AND(R8&gt;180,R8&lt;360),ABS(360-R8),-R8)))</f>
        <v>#N/A</v>
      </c>
      <c r="W8" s="223" t="e">
        <f>IF(S8&lt;0,ABS(S8),IF(S8&gt;360,-(S8-360),IF(AND(S8&gt;180,S8&lt;360),ABS(360-S8),-S8)))</f>
        <v>#N/A</v>
      </c>
      <c r="X8" s="223"/>
      <c r="Y8" s="280"/>
      <c r="AA8" s="238"/>
      <c r="AB8" s="239"/>
      <c r="AC8" s="240"/>
      <c r="AD8" s="241" t="s">
        <v>126</v>
      </c>
      <c r="AE8" s="242">
        <f>MIN(L8:L9)</f>
        <v>30.945844711914933</v>
      </c>
    </row>
    <row r="9" spans="2:31" ht="17" thickBot="1">
      <c r="L9" s="225">
        <f>IFERROR(90-DEGREES(h_)+DEGREES(d_)-0.01,0)</f>
        <v>30.945844711914933</v>
      </c>
      <c r="M9" s="287">
        <f>IF(N9&gt;maxn,maxn,IF(N9&lt;mins,mins,N9))</f>
        <v>36.297845432992425</v>
      </c>
      <c r="N9" s="288">
        <f t="shared" ref="N9:N71" si="2">N8-step</f>
        <v>36.524820287558434</v>
      </c>
      <c r="O9" s="289">
        <f>RADIANS(M9)</f>
        <v>0.63351691418570455</v>
      </c>
      <c r="P9" s="219">
        <f>IFERROR(DEGREES(grt+ACOS((SIN(h)-SIN(d)*SIN(O9))/COS(d)/COS(O9))),#N/A)</f>
        <v>46.663214713314595</v>
      </c>
      <c r="Q9" s="219">
        <f>IFERROR(DEGREES(grt-ACOS((SIN(h)-SIN(d)*SIN(O9))/COS(d)/COS(O9))),#N/A)</f>
        <v>45.072827344302048</v>
      </c>
      <c r="R9" s="219" t="e">
        <f t="shared" si="0"/>
        <v>#N/A</v>
      </c>
      <c r="S9" s="220" t="e">
        <f t="shared" si="1"/>
        <v>#N/A</v>
      </c>
      <c r="T9" s="221">
        <f t="shared" ref="T9:T38" si="3">IF(P9&lt;0,ABS(P9),IF(P9&gt;360,-(P9-360),IF(AND(P9&gt;180,P9&lt;360),ABS(360-P9),-P9)))</f>
        <v>-46.663214713314595</v>
      </c>
      <c r="U9" s="222">
        <f t="shared" ref="U9:U38" si="4">IF(Q9&lt;0,ABS(Q9),IF(Q9&gt;360,Q9-(Q9-360),IF(AND(Q9&gt;180,Q9&lt;360),ABS(360-Q9),-Q9)))</f>
        <v>-45.072827344302048</v>
      </c>
      <c r="V9" s="223" t="e">
        <f t="shared" ref="V9:V38" si="5">IF(R9&lt;0,ABS(R9),IF(R9&gt;360,-(R9-360),IF(AND(R9&gt;180,R9&lt;360),ABS(360-R9),-R9)))</f>
        <v>#N/A</v>
      </c>
      <c r="W9" s="223" t="e">
        <f t="shared" ref="W9:W38" si="6">IF(S9&lt;0,ABS(S9),IF(S9&gt;360,-(S9-360),IF(AND(S9&gt;180,S9&lt;360),ABS(360-S9),-S9)))</f>
        <v>#N/A</v>
      </c>
      <c r="X9" s="223"/>
      <c r="Y9" s="280"/>
      <c r="AA9" s="233"/>
      <c r="AB9" s="234"/>
      <c r="AC9" s="235"/>
      <c r="AD9" s="236" t="s">
        <v>127</v>
      </c>
      <c r="AE9" s="237">
        <f>MAX(L192:L193)</f>
        <v>-10.146922687563464</v>
      </c>
    </row>
    <row r="10" spans="2:31">
      <c r="M10" s="287">
        <f>IF(N10&gt;maxn,maxn,IF(N10&lt;mins,mins,N10))</f>
        <v>36.231300520419303</v>
      </c>
      <c r="N10" s="288">
        <f t="shared" si="2"/>
        <v>36.231300520419303</v>
      </c>
      <c r="O10" s="289">
        <f>RADIANS(M10)</f>
        <v>0.63235548636085182</v>
      </c>
      <c r="P10" s="219">
        <f>IFERROR(DEGREES(grt+ACOS((SIN(h)-SIN(d)*SIN(O10))/COS(d)/COS(O10))),#N/A)</f>
        <v>48.065930530888231</v>
      </c>
      <c r="Q10" s="219">
        <f>IFERROR(DEGREES(grt-ACOS((SIN(h)-SIN(d)*SIN(O10))/COS(d)/COS(O10))),#N/A)</f>
        <v>43.670111526728412</v>
      </c>
      <c r="R10" s="219" t="e">
        <f t="shared" si="0"/>
        <v>#N/A</v>
      </c>
      <c r="S10" s="220" t="e">
        <f t="shared" si="1"/>
        <v>#N/A</v>
      </c>
      <c r="T10" s="221">
        <f t="shared" si="3"/>
        <v>-48.065930530888231</v>
      </c>
      <c r="U10" s="222">
        <f t="shared" si="4"/>
        <v>-43.670111526728412</v>
      </c>
      <c r="V10" s="223" t="e">
        <f t="shared" si="5"/>
        <v>#N/A</v>
      </c>
      <c r="W10" s="223" t="e">
        <f t="shared" si="6"/>
        <v>#N/A</v>
      </c>
      <c r="X10" s="223"/>
      <c r="Y10" s="280"/>
      <c r="AA10" s="243"/>
      <c r="AB10" s="240"/>
      <c r="AC10" s="240"/>
      <c r="AD10" s="244" t="s">
        <v>128</v>
      </c>
      <c r="AE10" s="242">
        <f>IF(minn=0,AE6,minn)</f>
        <v>30.945844711914933</v>
      </c>
    </row>
    <row r="11" spans="2:31">
      <c r="M11" s="287">
        <f t="shared" ref="M11:M38" si="7">IF(N11&gt;maxn,maxn,IF(N11&lt;mins,mins,N11))</f>
        <v>35.937780753280173</v>
      </c>
      <c r="N11" s="288">
        <f>N10-step</f>
        <v>35.937780753280173</v>
      </c>
      <c r="O11" s="289">
        <f t="shared" ref="O11:O38" si="8">RADIANS(M11)</f>
        <v>0.62723260000458692</v>
      </c>
      <c r="P11" s="219">
        <f t="shared" ref="P11:P38" si="9">IFERROR(DEGREES(grt+ACOS((SIN(h)-SIN(d)*SIN(O11))/COS(d)/COS(O11))),#N/A)</f>
        <v>50.680088067433473</v>
      </c>
      <c r="Q11" s="219">
        <f t="shared" ref="Q11:Q38" si="10">IFERROR(DEGREES(grt-ACOS((SIN(h)-SIN(d)*SIN(O11))/COS(d)/COS(O11))),#N/A)</f>
        <v>41.05595399018317</v>
      </c>
      <c r="R11" s="219" t="e">
        <f t="shared" si="0"/>
        <v>#N/A</v>
      </c>
      <c r="S11" s="220" t="e">
        <f t="shared" si="1"/>
        <v>#N/A</v>
      </c>
      <c r="T11" s="221">
        <f t="shared" si="3"/>
        <v>-50.680088067433473</v>
      </c>
      <c r="U11" s="222">
        <f t="shared" si="4"/>
        <v>-41.05595399018317</v>
      </c>
      <c r="V11" s="223" t="e">
        <f t="shared" si="5"/>
        <v>#N/A</v>
      </c>
      <c r="W11" s="223" t="e">
        <f t="shared" si="6"/>
        <v>#N/A</v>
      </c>
      <c r="X11" s="223"/>
      <c r="Y11" s="280"/>
      <c r="AA11" s="245"/>
      <c r="AB11" s="235"/>
      <c r="AC11" s="235"/>
      <c r="AD11" s="246" t="s">
        <v>129</v>
      </c>
      <c r="AE11" s="237">
        <f>IF(maxs=0,AE7,maxs)</f>
        <v>-10.146922687563464</v>
      </c>
    </row>
    <row r="12" spans="2:31">
      <c r="M12" s="287">
        <f t="shared" si="7"/>
        <v>35.644260986141042</v>
      </c>
      <c r="N12" s="288">
        <f t="shared" si="2"/>
        <v>35.644260986141042</v>
      </c>
      <c r="O12" s="289">
        <f t="shared" si="8"/>
        <v>0.62210971364832213</v>
      </c>
      <c r="P12" s="219">
        <f t="shared" si="9"/>
        <v>52.284268721089774</v>
      </c>
      <c r="Q12" s="219">
        <f t="shared" si="10"/>
        <v>39.451773336526863</v>
      </c>
      <c r="R12" s="219" t="e">
        <f t="shared" si="0"/>
        <v>#N/A</v>
      </c>
      <c r="S12" s="220" t="e">
        <f t="shared" si="1"/>
        <v>#N/A</v>
      </c>
      <c r="T12" s="221">
        <f t="shared" si="3"/>
        <v>-52.284268721089774</v>
      </c>
      <c r="U12" s="222">
        <f t="shared" si="4"/>
        <v>-39.451773336526863</v>
      </c>
      <c r="V12" s="223" t="e">
        <f t="shared" si="5"/>
        <v>#N/A</v>
      </c>
      <c r="W12" s="223" t="e">
        <f t="shared" si="6"/>
        <v>#N/A</v>
      </c>
      <c r="X12" s="223"/>
      <c r="Y12" s="280"/>
      <c r="AA12" s="238"/>
      <c r="AB12" s="239"/>
      <c r="AC12" s="240"/>
      <c r="AD12" s="241" t="s">
        <v>130</v>
      </c>
      <c r="AE12" s="247">
        <f>maxn-mins</f>
        <v>51.876184630034217</v>
      </c>
    </row>
    <row r="13" spans="2:31">
      <c r="M13" s="287">
        <f t="shared" si="7"/>
        <v>35.350741219001911</v>
      </c>
      <c r="N13" s="288">
        <f t="shared" si="2"/>
        <v>35.350741219001911</v>
      </c>
      <c r="O13" s="289">
        <f t="shared" si="8"/>
        <v>0.61698682729205723</v>
      </c>
      <c r="P13" s="219">
        <f t="shared" si="9"/>
        <v>53.540781552186075</v>
      </c>
      <c r="Q13" s="219">
        <f t="shared" si="10"/>
        <v>38.195260505430568</v>
      </c>
      <c r="R13" s="219" t="e">
        <f t="shared" si="0"/>
        <v>#N/A</v>
      </c>
      <c r="S13" s="220" t="e">
        <f t="shared" si="1"/>
        <v>#N/A</v>
      </c>
      <c r="T13" s="221">
        <f t="shared" si="3"/>
        <v>-53.540781552186075</v>
      </c>
      <c r="U13" s="222">
        <f t="shared" si="4"/>
        <v>-38.195260505430568</v>
      </c>
      <c r="V13" s="223" t="e">
        <f t="shared" si="5"/>
        <v>#N/A</v>
      </c>
      <c r="W13" s="223" t="e">
        <f t="shared" si="6"/>
        <v>#N/A</v>
      </c>
      <c r="X13" s="223"/>
      <c r="Y13" s="280"/>
      <c r="AA13" s="245"/>
      <c r="AB13" s="235"/>
      <c r="AC13" s="235"/>
      <c r="AD13" s="236" t="s">
        <v>131</v>
      </c>
      <c r="AE13" s="248">
        <f>AE10-AE11</f>
        <v>41.092767399478397</v>
      </c>
    </row>
    <row r="14" spans="2:31">
      <c r="M14" s="287">
        <f t="shared" si="7"/>
        <v>35.05722145186278</v>
      </c>
      <c r="N14" s="288">
        <f t="shared" si="2"/>
        <v>35.05722145186278</v>
      </c>
      <c r="O14" s="289">
        <f t="shared" si="8"/>
        <v>0.61186394093579233</v>
      </c>
      <c r="P14" s="219">
        <f t="shared" si="9"/>
        <v>54.601215355471211</v>
      </c>
      <c r="Q14" s="219">
        <f t="shared" si="10"/>
        <v>37.134826702145432</v>
      </c>
      <c r="R14" s="219" t="e">
        <f t="shared" si="0"/>
        <v>#N/A</v>
      </c>
      <c r="S14" s="220" t="e">
        <f t="shared" si="1"/>
        <v>#N/A</v>
      </c>
      <c r="T14" s="221">
        <f t="shared" si="3"/>
        <v>-54.601215355471211</v>
      </c>
      <c r="U14" s="222">
        <f t="shared" si="4"/>
        <v>-37.134826702145432</v>
      </c>
      <c r="V14" s="223" t="e">
        <f t="shared" si="5"/>
        <v>#N/A</v>
      </c>
      <c r="W14" s="223" t="e">
        <f t="shared" si="6"/>
        <v>#N/A</v>
      </c>
      <c r="X14" s="223"/>
      <c r="Y14" s="280"/>
      <c r="AA14" s="249"/>
      <c r="AB14" s="250"/>
      <c r="AC14" s="240"/>
      <c r="AD14" s="241" t="s">
        <v>132</v>
      </c>
      <c r="AE14" s="251">
        <v>178</v>
      </c>
    </row>
    <row r="15" spans="2:31">
      <c r="M15" s="287">
        <f t="shared" si="7"/>
        <v>34.76370168472365</v>
      </c>
      <c r="N15" s="288">
        <f t="shared" si="2"/>
        <v>34.76370168472365</v>
      </c>
      <c r="O15" s="289">
        <f t="shared" si="8"/>
        <v>0.60674105457952743</v>
      </c>
      <c r="P15" s="219">
        <f t="shared" si="9"/>
        <v>55.530530110125547</v>
      </c>
      <c r="Q15" s="219">
        <f t="shared" si="10"/>
        <v>36.205511947491097</v>
      </c>
      <c r="R15" s="219" t="e">
        <f t="shared" si="0"/>
        <v>#N/A</v>
      </c>
      <c r="S15" s="220" t="e">
        <f t="shared" si="1"/>
        <v>#N/A</v>
      </c>
      <c r="T15" s="221">
        <f t="shared" si="3"/>
        <v>-55.530530110125547</v>
      </c>
      <c r="U15" s="222">
        <f t="shared" si="4"/>
        <v>-36.205511947491097</v>
      </c>
      <c r="V15" s="223" t="e">
        <f t="shared" si="5"/>
        <v>#N/A</v>
      </c>
      <c r="W15" s="223" t="e">
        <f t="shared" si="6"/>
        <v>#N/A</v>
      </c>
      <c r="X15" s="223"/>
      <c r="Y15" s="280"/>
      <c r="AA15" s="252"/>
      <c r="AB15" s="253"/>
      <c r="AC15" s="235"/>
      <c r="AD15" s="236" t="s">
        <v>133</v>
      </c>
      <c r="AE15" s="254">
        <f>ROUNDDOWN(AE13*AE14/AE12,0)</f>
        <v>140</v>
      </c>
    </row>
    <row r="16" spans="2:31">
      <c r="M16" s="287">
        <f t="shared" si="7"/>
        <v>34.470181917584519</v>
      </c>
      <c r="N16" s="288">
        <f t="shared" si="2"/>
        <v>34.470181917584519</v>
      </c>
      <c r="O16" s="289">
        <f t="shared" si="8"/>
        <v>0.60161816822326253</v>
      </c>
      <c r="P16" s="219">
        <f t="shared" si="9"/>
        <v>56.363779047960229</v>
      </c>
      <c r="Q16" s="219">
        <f t="shared" si="10"/>
        <v>35.372263009656415</v>
      </c>
      <c r="R16" s="219" t="e">
        <f t="shared" si="0"/>
        <v>#N/A</v>
      </c>
      <c r="S16" s="220" t="e">
        <f t="shared" si="1"/>
        <v>#N/A</v>
      </c>
      <c r="T16" s="221">
        <f t="shared" si="3"/>
        <v>-56.363779047960229</v>
      </c>
      <c r="U16" s="222">
        <f t="shared" si="4"/>
        <v>-35.372263009656415</v>
      </c>
      <c r="V16" s="223" t="e">
        <f t="shared" si="5"/>
        <v>#N/A</v>
      </c>
      <c r="W16" s="223" t="e">
        <f t="shared" si="6"/>
        <v>#N/A</v>
      </c>
      <c r="X16" s="223"/>
      <c r="Y16" s="280"/>
      <c r="AA16" s="249"/>
      <c r="AB16" s="250"/>
      <c r="AC16" s="240"/>
      <c r="AD16" s="241" t="s">
        <v>134</v>
      </c>
      <c r="AE16" s="255">
        <f>ROUNDUP((AE14-AE15)/2,0)</f>
        <v>19</v>
      </c>
    </row>
    <row r="17" spans="13:31" ht="17" thickBot="1">
      <c r="M17" s="287">
        <f t="shared" si="7"/>
        <v>34.176662150445388</v>
      </c>
      <c r="N17" s="288">
        <f t="shared" si="2"/>
        <v>34.176662150445388</v>
      </c>
      <c r="O17" s="289">
        <f t="shared" si="8"/>
        <v>0.59649528186699763</v>
      </c>
      <c r="P17" s="219">
        <f t="shared" si="9"/>
        <v>57.12247178610933</v>
      </c>
      <c r="Q17" s="219">
        <f t="shared" si="10"/>
        <v>34.613570271507314</v>
      </c>
      <c r="R17" s="219" t="e">
        <f t="shared" si="0"/>
        <v>#N/A</v>
      </c>
      <c r="S17" s="220" t="e">
        <f t="shared" si="1"/>
        <v>#N/A</v>
      </c>
      <c r="T17" s="221">
        <f t="shared" si="3"/>
        <v>-57.12247178610933</v>
      </c>
      <c r="U17" s="222">
        <f t="shared" si="4"/>
        <v>-34.613570271507314</v>
      </c>
      <c r="V17" s="223" t="e">
        <f t="shared" si="5"/>
        <v>#N/A</v>
      </c>
      <c r="W17" s="223" t="e">
        <f t="shared" si="6"/>
        <v>#N/A</v>
      </c>
      <c r="X17" s="223"/>
      <c r="Y17" s="280"/>
      <c r="AA17" s="256"/>
      <c r="AB17" s="257"/>
      <c r="AC17" s="258"/>
      <c r="AD17" s="259" t="s">
        <v>135</v>
      </c>
      <c r="AE17" s="260">
        <f>IF(minn=0,AE12/AE15,AE13/AE15)</f>
        <v>0.29351976713913142</v>
      </c>
    </row>
    <row r="18" spans="13:31">
      <c r="M18" s="287">
        <f t="shared" si="7"/>
        <v>33.883142383306257</v>
      </c>
      <c r="N18" s="288">
        <f t="shared" si="2"/>
        <v>33.883142383306257</v>
      </c>
      <c r="O18" s="289">
        <f t="shared" si="8"/>
        <v>0.59137239551073273</v>
      </c>
      <c r="P18" s="219">
        <f t="shared" si="9"/>
        <v>57.820953834697079</v>
      </c>
      <c r="Q18" s="219">
        <f t="shared" si="10"/>
        <v>33.915088222919557</v>
      </c>
      <c r="R18" s="219" t="e">
        <f t="shared" si="0"/>
        <v>#N/A</v>
      </c>
      <c r="S18" s="220" t="e">
        <f t="shared" si="1"/>
        <v>#N/A</v>
      </c>
      <c r="T18" s="221">
        <f t="shared" si="3"/>
        <v>-57.820953834697079</v>
      </c>
      <c r="U18" s="222">
        <f t="shared" si="4"/>
        <v>-33.915088222919557</v>
      </c>
      <c r="V18" s="223" t="e">
        <f t="shared" si="5"/>
        <v>#N/A</v>
      </c>
      <c r="W18" s="223" t="e">
        <f t="shared" si="6"/>
        <v>#N/A</v>
      </c>
      <c r="X18" s="223"/>
      <c r="Y18" s="280"/>
    </row>
    <row r="19" spans="13:31">
      <c r="M19" s="287">
        <f t="shared" si="7"/>
        <v>33.589622616167127</v>
      </c>
      <c r="N19" s="288">
        <f t="shared" si="2"/>
        <v>33.589622616167127</v>
      </c>
      <c r="O19" s="289">
        <f t="shared" si="8"/>
        <v>0.58624950915446783</v>
      </c>
      <c r="P19" s="219">
        <f t="shared" si="9"/>
        <v>58.46937154241305</v>
      </c>
      <c r="Q19" s="219">
        <f t="shared" si="10"/>
        <v>33.2666705152036</v>
      </c>
      <c r="R19" s="219" t="e">
        <f t="shared" si="0"/>
        <v>#N/A</v>
      </c>
      <c r="S19" s="220" t="e">
        <f t="shared" si="1"/>
        <v>#N/A</v>
      </c>
      <c r="T19" s="221">
        <f t="shared" si="3"/>
        <v>-58.46937154241305</v>
      </c>
      <c r="U19" s="222">
        <f t="shared" si="4"/>
        <v>-33.2666705152036</v>
      </c>
      <c r="V19" s="223" t="e">
        <f t="shared" si="5"/>
        <v>#N/A</v>
      </c>
      <c r="W19" s="223" t="e">
        <f t="shared" si="6"/>
        <v>#N/A</v>
      </c>
      <c r="X19" s="223"/>
      <c r="Y19" s="280"/>
    </row>
    <row r="20" spans="13:31">
      <c r="M20" s="287">
        <f t="shared" si="7"/>
        <v>33.296102849027996</v>
      </c>
      <c r="N20" s="288">
        <f t="shared" si="2"/>
        <v>33.296102849027996</v>
      </c>
      <c r="O20" s="289">
        <f t="shared" si="8"/>
        <v>0.58112662279820293</v>
      </c>
      <c r="P20" s="219">
        <f t="shared" si="9"/>
        <v>59.075222359048752</v>
      </c>
      <c r="Q20" s="219">
        <f t="shared" si="10"/>
        <v>32.660819698567899</v>
      </c>
      <c r="R20" s="219" t="e">
        <f t="shared" si="0"/>
        <v>#N/A</v>
      </c>
      <c r="S20" s="220" t="e">
        <f t="shared" si="1"/>
        <v>#N/A</v>
      </c>
      <c r="T20" s="221">
        <f t="shared" si="3"/>
        <v>-59.075222359048752</v>
      </c>
      <c r="U20" s="222">
        <f t="shared" si="4"/>
        <v>-32.660819698567899</v>
      </c>
      <c r="V20" s="223" t="e">
        <f t="shared" si="5"/>
        <v>#N/A</v>
      </c>
      <c r="W20" s="223" t="e">
        <f t="shared" si="6"/>
        <v>#N/A</v>
      </c>
      <c r="X20" s="223"/>
      <c r="Y20" s="280"/>
    </row>
    <row r="21" spans="13:31">
      <c r="M21" s="287">
        <f t="shared" si="7"/>
        <v>33.002583081888865</v>
      </c>
      <c r="N21" s="288">
        <f t="shared" si="2"/>
        <v>33.002583081888865</v>
      </c>
      <c r="O21" s="289">
        <f t="shared" si="8"/>
        <v>0.57600373644193803</v>
      </c>
      <c r="P21" s="219">
        <f t="shared" si="9"/>
        <v>59.644237580094668</v>
      </c>
      <c r="Q21" s="219">
        <f t="shared" si="10"/>
        <v>32.091804477521968</v>
      </c>
      <c r="R21" s="219" t="e">
        <f t="shared" si="0"/>
        <v>#N/A</v>
      </c>
      <c r="S21" s="220" t="e">
        <f t="shared" si="1"/>
        <v>#N/A</v>
      </c>
      <c r="T21" s="221">
        <f t="shared" si="3"/>
        <v>-59.644237580094668</v>
      </c>
      <c r="U21" s="222">
        <f t="shared" si="4"/>
        <v>-32.091804477521968</v>
      </c>
      <c r="V21" s="223" t="e">
        <f t="shared" si="5"/>
        <v>#N/A</v>
      </c>
      <c r="W21" s="223" t="e">
        <f t="shared" si="6"/>
        <v>#N/A</v>
      </c>
      <c r="X21" s="223"/>
      <c r="Y21" s="280"/>
    </row>
    <row r="22" spans="13:31">
      <c r="M22" s="287">
        <f t="shared" si="7"/>
        <v>32.709063314749734</v>
      </c>
      <c r="N22" s="288">
        <f t="shared" si="2"/>
        <v>32.709063314749734</v>
      </c>
      <c r="O22" s="289">
        <f t="shared" si="8"/>
        <v>0.57088085008567324</v>
      </c>
      <c r="P22" s="219">
        <f t="shared" si="9"/>
        <v>60.180918715884374</v>
      </c>
      <c r="Q22" s="219">
        <f t="shared" si="10"/>
        <v>31.555123341732262</v>
      </c>
      <c r="R22" s="219" t="e">
        <f t="shared" si="0"/>
        <v>#N/A</v>
      </c>
      <c r="S22" s="220" t="e">
        <f t="shared" si="1"/>
        <v>#N/A</v>
      </c>
      <c r="T22" s="221">
        <f t="shared" si="3"/>
        <v>-60.180918715884374</v>
      </c>
      <c r="U22" s="222">
        <f t="shared" si="4"/>
        <v>-31.555123341732262</v>
      </c>
      <c r="V22" s="223" t="e">
        <f t="shared" si="5"/>
        <v>#N/A</v>
      </c>
      <c r="W22" s="223" t="e">
        <f t="shared" si="6"/>
        <v>#N/A</v>
      </c>
      <c r="X22" s="223"/>
      <c r="Y22" s="280"/>
    </row>
    <row r="23" spans="13:31">
      <c r="M23" s="287">
        <f t="shared" si="7"/>
        <v>32.415543547610604</v>
      </c>
      <c r="N23" s="288">
        <f t="shared" si="2"/>
        <v>32.415543547610604</v>
      </c>
      <c r="O23" s="289">
        <f t="shared" si="8"/>
        <v>0.56575796372940834</v>
      </c>
      <c r="P23" s="219">
        <f t="shared" si="9"/>
        <v>60.688880528778476</v>
      </c>
      <c r="Q23" s="219">
        <f t="shared" si="10"/>
        <v>31.047161528838171</v>
      </c>
      <c r="R23" s="219" t="e">
        <f t="shared" si="0"/>
        <v>#N/A</v>
      </c>
      <c r="S23" s="220" t="e">
        <f t="shared" si="1"/>
        <v>#N/A</v>
      </c>
      <c r="T23" s="221">
        <f t="shared" si="3"/>
        <v>-60.688880528778476</v>
      </c>
      <c r="U23" s="222">
        <f t="shared" si="4"/>
        <v>-31.047161528838171</v>
      </c>
      <c r="V23" s="223" t="e">
        <f>IF(R23&lt;0,ABS(R23),IF(R23&gt;360,-(R23-360),IF(AND(R23&gt;180,R23&lt;360),ABS(360-R23),-R23)))</f>
        <v>#N/A</v>
      </c>
      <c r="W23" s="223" t="e">
        <f t="shared" si="6"/>
        <v>#N/A</v>
      </c>
      <c r="X23" s="223"/>
      <c r="Y23" s="280"/>
    </row>
    <row r="24" spans="13:31">
      <c r="M24" s="287">
        <f t="shared" si="7"/>
        <v>32.122023780471473</v>
      </c>
      <c r="N24" s="288">
        <f t="shared" si="2"/>
        <v>32.122023780471473</v>
      </c>
      <c r="O24" s="289">
        <f t="shared" si="8"/>
        <v>0.56063507737314344</v>
      </c>
      <c r="P24" s="219">
        <f t="shared" si="9"/>
        <v>61.171079726063034</v>
      </c>
      <c r="Q24" s="219">
        <f t="shared" si="10"/>
        <v>30.564962331553605</v>
      </c>
      <c r="R24" s="219" t="e">
        <f t="shared" si="0"/>
        <v>#N/A</v>
      </c>
      <c r="S24" s="220" t="e">
        <f t="shared" si="1"/>
        <v>#N/A</v>
      </c>
      <c r="T24" s="221">
        <f t="shared" si="3"/>
        <v>-61.171079726063034</v>
      </c>
      <c r="U24" s="222">
        <f t="shared" si="4"/>
        <v>-30.564962331553605</v>
      </c>
      <c r="V24" s="223" t="e">
        <f t="shared" si="5"/>
        <v>#N/A</v>
      </c>
      <c r="W24" s="223" t="e">
        <f t="shared" si="6"/>
        <v>#N/A</v>
      </c>
      <c r="X24" s="223"/>
      <c r="Y24" s="280"/>
    </row>
    <row r="25" spans="13:31">
      <c r="M25" s="287">
        <f t="shared" si="7"/>
        <v>31.828504013332342</v>
      </c>
      <c r="N25" s="288">
        <f t="shared" si="2"/>
        <v>31.828504013332342</v>
      </c>
      <c r="O25" s="289">
        <f t="shared" si="8"/>
        <v>0.55551219101687854</v>
      </c>
      <c r="P25" s="219">
        <f t="shared" si="9"/>
        <v>61.629972755586081</v>
      </c>
      <c r="Q25" s="219">
        <f t="shared" si="10"/>
        <v>30.106069302030555</v>
      </c>
      <c r="R25" s="219" t="e">
        <f t="shared" si="0"/>
        <v>#N/A</v>
      </c>
      <c r="S25" s="220" t="e">
        <f t="shared" si="1"/>
        <v>#N/A</v>
      </c>
      <c r="T25" s="221">
        <f t="shared" si="3"/>
        <v>-61.629972755586081</v>
      </c>
      <c r="U25" s="222">
        <f t="shared" si="4"/>
        <v>-30.106069302030555</v>
      </c>
      <c r="V25" s="223" t="e">
        <f t="shared" si="5"/>
        <v>#N/A</v>
      </c>
      <c r="W25" s="223" t="e">
        <f t="shared" si="6"/>
        <v>#N/A</v>
      </c>
      <c r="X25" s="223"/>
      <c r="Y25" s="280"/>
    </row>
    <row r="26" spans="13:31">
      <c r="M26" s="287">
        <f t="shared" si="7"/>
        <v>31.534984246193211</v>
      </c>
      <c r="N26" s="288">
        <f t="shared" si="2"/>
        <v>31.534984246193211</v>
      </c>
      <c r="O26" s="289">
        <f t="shared" si="8"/>
        <v>0.55038930466061364</v>
      </c>
      <c r="P26" s="219">
        <f t="shared" si="9"/>
        <v>62.067627881724754</v>
      </c>
      <c r="Q26" s="219">
        <f t="shared" si="10"/>
        <v>29.668414175891893</v>
      </c>
      <c r="R26" s="219" t="e">
        <f t="shared" si="0"/>
        <v>#N/A</v>
      </c>
      <c r="S26" s="220" t="e">
        <f t="shared" si="1"/>
        <v>#N/A</v>
      </c>
      <c r="T26" s="221">
        <f t="shared" si="3"/>
        <v>-62.067627881724754</v>
      </c>
      <c r="U26" s="222">
        <f t="shared" si="4"/>
        <v>-29.668414175891893</v>
      </c>
      <c r="V26" s="223" t="e">
        <f t="shared" si="5"/>
        <v>#N/A</v>
      </c>
      <c r="W26" s="223" t="e">
        <f t="shared" si="6"/>
        <v>#N/A</v>
      </c>
      <c r="X26" s="223"/>
      <c r="Y26" s="280"/>
    </row>
    <row r="27" spans="13:31">
      <c r="M27" s="287">
        <f t="shared" si="7"/>
        <v>31.241464479054081</v>
      </c>
      <c r="N27" s="288">
        <f t="shared" si="2"/>
        <v>31.241464479054081</v>
      </c>
      <c r="O27" s="289">
        <f t="shared" si="8"/>
        <v>0.54526641830434874</v>
      </c>
      <c r="P27" s="219">
        <f t="shared" si="9"/>
        <v>62.485806782046048</v>
      </c>
      <c r="Q27" s="219">
        <f t="shared" si="10"/>
        <v>29.250235275570606</v>
      </c>
      <c r="R27" s="219" t="e">
        <f t="shared" si="0"/>
        <v>#N/A</v>
      </c>
      <c r="S27" s="220" t="e">
        <f t="shared" si="1"/>
        <v>#N/A</v>
      </c>
      <c r="T27" s="221">
        <f t="shared" si="3"/>
        <v>-62.485806782046048</v>
      </c>
      <c r="U27" s="222">
        <f t="shared" si="4"/>
        <v>-29.250235275570606</v>
      </c>
      <c r="V27" s="223" t="e">
        <f t="shared" si="5"/>
        <v>#N/A</v>
      </c>
      <c r="W27" s="223" t="e">
        <f t="shared" si="6"/>
        <v>#N/A</v>
      </c>
      <c r="X27" s="223"/>
      <c r="Y27" s="280"/>
    </row>
    <row r="28" spans="13:31">
      <c r="M28" s="287">
        <f t="shared" si="7"/>
        <v>30.94794471191495</v>
      </c>
      <c r="N28" s="288">
        <f t="shared" si="2"/>
        <v>30.94794471191495</v>
      </c>
      <c r="O28" s="289">
        <f t="shared" si="8"/>
        <v>0.54014353194808384</v>
      </c>
      <c r="P28" s="219">
        <f t="shared" si="9"/>
        <v>62.886025237591952</v>
      </c>
      <c r="Q28" s="219">
        <f t="shared" si="10"/>
        <v>28.850016820024685</v>
      </c>
      <c r="R28" s="219">
        <f t="shared" si="0"/>
        <v>87.021677540772032</v>
      </c>
      <c r="S28" s="220">
        <f t="shared" si="1"/>
        <v>85.794066495315903</v>
      </c>
      <c r="T28" s="221">
        <f t="shared" si="3"/>
        <v>-62.886025237591952</v>
      </c>
      <c r="U28" s="222">
        <f t="shared" si="4"/>
        <v>-28.850016820024685</v>
      </c>
      <c r="V28" s="223">
        <f t="shared" si="5"/>
        <v>-87.021677540772032</v>
      </c>
      <c r="W28" s="223">
        <f t="shared" si="6"/>
        <v>-85.794066495315903</v>
      </c>
      <c r="X28" s="223"/>
      <c r="Y28" s="280"/>
    </row>
    <row r="29" spans="13:31">
      <c r="M29" s="287">
        <f t="shared" si="7"/>
        <v>30.654424944775819</v>
      </c>
      <c r="N29" s="288">
        <f t="shared" si="2"/>
        <v>30.654424944775819</v>
      </c>
      <c r="O29" s="289">
        <f t="shared" si="8"/>
        <v>0.53502064559181894</v>
      </c>
      <c r="P29" s="219">
        <f t="shared" si="9"/>
        <v>63.269599124310275</v>
      </c>
      <c r="Q29" s="219">
        <f t="shared" si="10"/>
        <v>28.466442933306361</v>
      </c>
      <c r="R29" s="219">
        <f t="shared" si="0"/>
        <v>90.181219353132349</v>
      </c>
      <c r="S29" s="220">
        <f t="shared" si="1"/>
        <v>82.634524682955586</v>
      </c>
      <c r="T29" s="221">
        <f t="shared" si="3"/>
        <v>-63.269599124310275</v>
      </c>
      <c r="U29" s="222">
        <f t="shared" si="4"/>
        <v>-28.466442933306361</v>
      </c>
      <c r="V29" s="223">
        <f t="shared" si="5"/>
        <v>-90.181219353132349</v>
      </c>
      <c r="W29" s="223">
        <f t="shared" si="6"/>
        <v>-82.634524682955586</v>
      </c>
      <c r="X29" s="223"/>
      <c r="Y29" s="280"/>
    </row>
    <row r="30" spans="13:31">
      <c r="M30" s="287">
        <f t="shared" si="7"/>
        <v>30.360905177636688</v>
      </c>
      <c r="N30" s="288">
        <f t="shared" si="2"/>
        <v>30.360905177636688</v>
      </c>
      <c r="O30" s="289">
        <f t="shared" si="8"/>
        <v>0.52989775923555404</v>
      </c>
      <c r="P30" s="219">
        <f t="shared" si="9"/>
        <v>63.637679843889316</v>
      </c>
      <c r="Q30" s="219">
        <f t="shared" si="10"/>
        <v>28.098362213727334</v>
      </c>
      <c r="R30" s="219">
        <f t="shared" si="0"/>
        <v>91.683753834751741</v>
      </c>
      <c r="S30" s="220">
        <f t="shared" si="1"/>
        <v>81.13199020133618</v>
      </c>
      <c r="T30" s="221">
        <f t="shared" si="3"/>
        <v>-63.637679843889316</v>
      </c>
      <c r="U30" s="222">
        <f t="shared" si="4"/>
        <v>-28.098362213727334</v>
      </c>
      <c r="V30" s="223">
        <f t="shared" si="5"/>
        <v>-91.683753834751741</v>
      </c>
      <c r="W30" s="223">
        <f t="shared" si="6"/>
        <v>-81.13199020133618</v>
      </c>
      <c r="X30" s="223"/>
      <c r="Y30" s="280"/>
    </row>
    <row r="31" spans="13:31">
      <c r="M31" s="287">
        <f t="shared" si="7"/>
        <v>30.067385410497558</v>
      </c>
      <c r="N31" s="288">
        <f t="shared" si="2"/>
        <v>30.067385410497558</v>
      </c>
      <c r="O31" s="289">
        <f t="shared" si="8"/>
        <v>0.52477487287928914</v>
      </c>
      <c r="P31" s="219">
        <f t="shared" si="9"/>
        <v>63.991282020694619</v>
      </c>
      <c r="Q31" s="219">
        <f t="shared" si="10"/>
        <v>27.744760036922031</v>
      </c>
      <c r="R31" s="219">
        <f t="shared" si="0"/>
        <v>92.824236050716507</v>
      </c>
      <c r="S31" s="220">
        <f t="shared" si="1"/>
        <v>79.991507985371413</v>
      </c>
      <c r="T31" s="221">
        <f t="shared" si="3"/>
        <v>-63.991282020694619</v>
      </c>
      <c r="U31" s="222">
        <f t="shared" si="4"/>
        <v>-27.744760036922031</v>
      </c>
      <c r="V31" s="223">
        <f t="shared" si="5"/>
        <v>-92.824236050716507</v>
      </c>
      <c r="W31" s="223">
        <f t="shared" si="6"/>
        <v>-79.991507985371413</v>
      </c>
      <c r="X31" s="223"/>
      <c r="Y31" s="280"/>
    </row>
    <row r="32" spans="13:31">
      <c r="M32" s="287">
        <f t="shared" si="7"/>
        <v>29.773865643358427</v>
      </c>
      <c r="N32" s="288">
        <f t="shared" si="2"/>
        <v>29.773865643358427</v>
      </c>
      <c r="O32" s="289">
        <f t="shared" si="8"/>
        <v>0.51965198652302436</v>
      </c>
      <c r="P32" s="219">
        <f t="shared" si="9"/>
        <v>64.331305437664369</v>
      </c>
      <c r="Q32" s="219">
        <f t="shared" si="10"/>
        <v>27.404736619952274</v>
      </c>
      <c r="R32" s="219">
        <f t="shared" si="0"/>
        <v>93.773001068948531</v>
      </c>
      <c r="S32" s="220">
        <f t="shared" si="1"/>
        <v>79.04274296713939</v>
      </c>
      <c r="T32" s="221">
        <f t="shared" si="3"/>
        <v>-64.331305437664369</v>
      </c>
      <c r="U32" s="222">
        <f t="shared" si="4"/>
        <v>-27.404736619952274</v>
      </c>
      <c r="V32" s="223">
        <f t="shared" si="5"/>
        <v>-93.773001068948531</v>
      </c>
      <c r="W32" s="223">
        <f t="shared" si="6"/>
        <v>-79.04274296713939</v>
      </c>
      <c r="X32" s="223"/>
      <c r="Y32" s="280"/>
    </row>
    <row r="33" spans="13:25">
      <c r="M33" s="287">
        <f t="shared" si="7"/>
        <v>29.480345876219296</v>
      </c>
      <c r="N33" s="288">
        <f t="shared" si="2"/>
        <v>29.480345876219296</v>
      </c>
      <c r="O33" s="289">
        <f t="shared" si="8"/>
        <v>0.51452910016675946</v>
      </c>
      <c r="P33" s="219">
        <f t="shared" si="9"/>
        <v>64.658552614805473</v>
      </c>
      <c r="Q33" s="219">
        <f t="shared" si="10"/>
        <v>27.077489442811181</v>
      </c>
      <c r="R33" s="219">
        <f t="shared" si="0"/>
        <v>94.597112084065628</v>
      </c>
      <c r="S33" s="220">
        <f t="shared" si="1"/>
        <v>78.218631952022307</v>
      </c>
      <c r="T33" s="221">
        <f t="shared" si="3"/>
        <v>-64.658552614805473</v>
      </c>
      <c r="U33" s="222">
        <f t="shared" si="4"/>
        <v>-27.077489442811181</v>
      </c>
      <c r="V33" s="223">
        <f t="shared" si="5"/>
        <v>-94.597112084065628</v>
      </c>
      <c r="W33" s="223">
        <f t="shared" si="6"/>
        <v>-78.218631952022307</v>
      </c>
      <c r="X33" s="223"/>
      <c r="Y33" s="280"/>
    </row>
    <row r="34" spans="13:25">
      <c r="M34" s="287">
        <f t="shared" si="7"/>
        <v>29.186826109080165</v>
      </c>
      <c r="N34" s="288">
        <f t="shared" si="2"/>
        <v>29.186826109080165</v>
      </c>
      <c r="O34" s="289">
        <f t="shared" si="8"/>
        <v>0.50940621381049456</v>
      </c>
      <c r="P34" s="219">
        <f t="shared" si="9"/>
        <v>64.973743046323534</v>
      </c>
      <c r="Q34" s="219">
        <f t="shared" si="10"/>
        <v>26.762299011293109</v>
      </c>
      <c r="R34" s="219">
        <f t="shared" si="0"/>
        <v>95.331312238173794</v>
      </c>
      <c r="S34" s="220">
        <f t="shared" si="1"/>
        <v>77.484431797914127</v>
      </c>
      <c r="T34" s="221">
        <f t="shared" si="3"/>
        <v>-64.973743046323534</v>
      </c>
      <c r="U34" s="222">
        <f t="shared" si="4"/>
        <v>-26.762299011293109</v>
      </c>
      <c r="V34" s="223">
        <f t="shared" si="5"/>
        <v>-95.331312238173794</v>
      </c>
      <c r="W34" s="223">
        <f t="shared" si="6"/>
        <v>-77.484431797914127</v>
      </c>
      <c r="X34" s="223"/>
      <c r="Y34" s="280"/>
    </row>
    <row r="35" spans="13:25">
      <c r="M35" s="287">
        <f t="shared" si="7"/>
        <v>28.893306341941035</v>
      </c>
      <c r="N35" s="288">
        <f t="shared" si="2"/>
        <v>28.893306341941035</v>
      </c>
      <c r="O35" s="289">
        <f t="shared" si="8"/>
        <v>0.50428332745422966</v>
      </c>
      <c r="P35" s="219">
        <f t="shared" si="9"/>
        <v>65.277524843395184</v>
      </c>
      <c r="Q35" s="219">
        <f t="shared" si="10"/>
        <v>26.458517214221455</v>
      </c>
      <c r="R35" s="219">
        <f t="shared" si="0"/>
        <v>95.996404259526869</v>
      </c>
      <c r="S35" s="220">
        <f t="shared" si="1"/>
        <v>76.819339776561065</v>
      </c>
      <c r="T35" s="221">
        <f t="shared" si="3"/>
        <v>-65.277524843395184</v>
      </c>
      <c r="U35" s="222">
        <f t="shared" si="4"/>
        <v>-26.458517214221455</v>
      </c>
      <c r="V35" s="223">
        <f t="shared" si="5"/>
        <v>-95.996404259526869</v>
      </c>
      <c r="W35" s="223">
        <f t="shared" si="6"/>
        <v>-76.819339776561065</v>
      </c>
      <c r="X35" s="223"/>
      <c r="Y35" s="280"/>
    </row>
    <row r="36" spans="13:25">
      <c r="M36" s="287">
        <f t="shared" si="7"/>
        <v>28.599786574801904</v>
      </c>
      <c r="N36" s="288">
        <f t="shared" si="2"/>
        <v>28.599786574801904</v>
      </c>
      <c r="O36" s="289">
        <f t="shared" si="8"/>
        <v>0.49916044109796476</v>
      </c>
      <c r="P36" s="219">
        <f t="shared" si="9"/>
        <v>65.570484339613515</v>
      </c>
      <c r="Q36" s="219">
        <f t="shared" si="10"/>
        <v>26.165557718003118</v>
      </c>
      <c r="R36" s="219">
        <f t="shared" si="0"/>
        <v>96.606034911480052</v>
      </c>
      <c r="S36" s="220">
        <f t="shared" si="1"/>
        <v>76.209709124607869</v>
      </c>
      <c r="T36" s="221">
        <f t="shared" si="3"/>
        <v>-65.570484339613515</v>
      </c>
      <c r="U36" s="222">
        <f t="shared" si="4"/>
        <v>-26.165557718003118</v>
      </c>
      <c r="V36" s="223">
        <f t="shared" si="5"/>
        <v>-96.606034911480052</v>
      </c>
      <c r="W36" s="223">
        <f t="shared" si="6"/>
        <v>-76.209709124607869</v>
      </c>
      <c r="X36" s="223"/>
      <c r="Y36" s="280"/>
    </row>
    <row r="37" spans="13:25">
      <c r="M37" s="287">
        <f t="shared" si="7"/>
        <v>28.306266807662773</v>
      </c>
      <c r="N37" s="288">
        <f t="shared" si="2"/>
        <v>28.306266807662773</v>
      </c>
      <c r="O37" s="289">
        <f t="shared" si="8"/>
        <v>0.49403755474169986</v>
      </c>
      <c r="P37" s="219">
        <f t="shared" si="9"/>
        <v>65.853154079865135</v>
      </c>
      <c r="Q37" s="219">
        <f t="shared" si="10"/>
        <v>25.882887977751519</v>
      </c>
      <c r="R37" s="219">
        <f t="shared" si="0"/>
        <v>97.16974187276648</v>
      </c>
      <c r="S37" s="220">
        <f t="shared" si="1"/>
        <v>75.646002163321441</v>
      </c>
      <c r="T37" s="221">
        <f t="shared" si="3"/>
        <v>-65.853154079865135</v>
      </c>
      <c r="U37" s="222">
        <f t="shared" si="4"/>
        <v>-25.882887977751519</v>
      </c>
      <c r="V37" s="223">
        <f t="shared" si="5"/>
        <v>-97.16974187276648</v>
      </c>
      <c r="W37" s="223">
        <f t="shared" si="6"/>
        <v>-75.646002163321441</v>
      </c>
      <c r="X37" s="223"/>
      <c r="Y37" s="280"/>
    </row>
    <row r="38" spans="13:25">
      <c r="M38" s="287">
        <f t="shared" si="7"/>
        <v>28.012747040523642</v>
      </c>
      <c r="N38" s="288">
        <f t="shared" si="2"/>
        <v>28.012747040523642</v>
      </c>
      <c r="O38" s="289">
        <f t="shared" si="8"/>
        <v>0.48891466838543496</v>
      </c>
      <c r="P38" s="219">
        <f t="shared" si="9"/>
        <v>66.126019514233519</v>
      </c>
      <c r="Q38" s="219">
        <f t="shared" si="10"/>
        <v>25.610022543383113</v>
      </c>
      <c r="R38" s="219">
        <f t="shared" si="0"/>
        <v>97.694509350791463</v>
      </c>
      <c r="S38" s="220">
        <f t="shared" si="1"/>
        <v>75.121234685296457</v>
      </c>
      <c r="T38" s="221">
        <f t="shared" si="3"/>
        <v>-66.126019514233519</v>
      </c>
      <c r="U38" s="222">
        <f t="shared" si="4"/>
        <v>-25.610022543383113</v>
      </c>
      <c r="V38" s="223">
        <f t="shared" si="5"/>
        <v>-97.694509350791463</v>
      </c>
      <c r="W38" s="223">
        <f t="shared" si="6"/>
        <v>-75.121234685296457</v>
      </c>
      <c r="X38" s="223"/>
      <c r="Y38" s="280"/>
    </row>
    <row r="39" spans="13:25">
      <c r="M39" s="287">
        <f t="shared" ref="M39:M96" si="11">IF(N39&gt;maxn,maxn,IF(N39&lt;mins,mins,N39))</f>
        <v>27.719227273384512</v>
      </c>
      <c r="N39" s="288">
        <f t="shared" si="2"/>
        <v>27.719227273384512</v>
      </c>
      <c r="O39" s="289">
        <f t="shared" ref="O39:O96" si="12">RADIANS(M39)</f>
        <v>0.48379178202917006</v>
      </c>
      <c r="P39" s="219">
        <f t="shared" ref="P39:P96" si="13">IFERROR(DEGREES(grt+ACOS((SIN(h)-SIN(d)*SIN(O39))/COS(d)/COS(O39))),#N/A)</f>
        <v>66.38952464541191</v>
      </c>
      <c r="Q39" s="219">
        <f t="shared" ref="Q39:Q96" si="14">IFERROR(DEGREES(grt-ACOS((SIN(h)-SIN(d)*SIN(O39))/COS(d)/COS(O39))),#N/A)</f>
        <v>25.346517412204722</v>
      </c>
      <c r="R39" s="219">
        <f t="shared" si="0"/>
        <v>98.185638413125787</v>
      </c>
      <c r="S39" s="220">
        <f t="shared" si="1"/>
        <v>74.630105622962134</v>
      </c>
      <c r="T39" s="221">
        <f t="shared" ref="T39:T96" si="15">IF(P39&lt;0,ABS(P39),IF(P39&gt;360,-(P39-360),IF(AND(P39&gt;180,P39&lt;360),ABS(360-P39),-P39)))</f>
        <v>-66.38952464541191</v>
      </c>
      <c r="U39" s="222">
        <f t="shared" ref="U39:U96" si="16">IF(Q39&lt;0,ABS(Q39),IF(Q39&gt;360,Q39-(Q39-360),IF(AND(Q39&gt;180,Q39&lt;360),ABS(360-Q39),-Q39)))</f>
        <v>-25.346517412204722</v>
      </c>
      <c r="V39" s="223">
        <f t="shared" ref="V39:V96" si="17">IF(R39&lt;0,ABS(R39),IF(R39&gt;360,-(R39-360),IF(AND(R39&gt;180,R39&lt;360),ABS(360-R39),-R39)))</f>
        <v>-98.185638413125787</v>
      </c>
      <c r="W39" s="223">
        <f t="shared" ref="W39:W96" si="18">IF(S39&lt;0,ABS(S39),IF(S39&gt;360,-(S39-360),IF(AND(S39&gt;180,S39&lt;360),ABS(360-S39),-S39)))</f>
        <v>-74.630105622962134</v>
      </c>
      <c r="X39" s="223"/>
      <c r="Y39" s="280"/>
    </row>
    <row r="40" spans="13:25">
      <c r="M40" s="287">
        <f t="shared" si="11"/>
        <v>27.425707506245381</v>
      </c>
      <c r="N40" s="288">
        <f t="shared" si="2"/>
        <v>27.425707506245381</v>
      </c>
      <c r="O40" s="289">
        <f t="shared" si="12"/>
        <v>0.47866889567290521</v>
      </c>
      <c r="P40" s="219">
        <f t="shared" si="13"/>
        <v>66.644076823546399</v>
      </c>
      <c r="Q40" s="219">
        <f t="shared" si="14"/>
        <v>25.09196523407023</v>
      </c>
      <c r="R40" s="219">
        <f t="shared" ref="R40:R71" si="19">IFERROR(DEGREES(grt_+ACOS((SIN(h_)-SIN(d_)*SIN(O40))/COS(d_)/COS(O40))),#N/A)</f>
        <v>98.647268678057017</v>
      </c>
      <c r="S40" s="220">
        <f t="shared" ref="S40:S71" si="20">IFERROR(DEGREES(grt_-ACOS((SIN(h_)-SIN(d_)*SIN(O40))/COS(d_)/COS(O40))),#N/A)</f>
        <v>74.168475358030918</v>
      </c>
      <c r="T40" s="221">
        <f t="shared" si="15"/>
        <v>-66.644076823546399</v>
      </c>
      <c r="U40" s="222">
        <f t="shared" si="16"/>
        <v>-25.09196523407023</v>
      </c>
      <c r="V40" s="223">
        <f t="shared" si="17"/>
        <v>-98.647268678057017</v>
      </c>
      <c r="W40" s="223">
        <f t="shared" si="18"/>
        <v>-74.168475358030918</v>
      </c>
      <c r="X40" s="223"/>
      <c r="Y40" s="280"/>
    </row>
    <row r="41" spans="13:25" hidden="1">
      <c r="M41" s="287">
        <f t="shared" si="11"/>
        <v>27.13218773910625</v>
      </c>
      <c r="N41" s="288">
        <f t="shared" si="2"/>
        <v>27.13218773910625</v>
      </c>
      <c r="O41" s="289">
        <f t="shared" si="12"/>
        <v>0.47354600931664032</v>
      </c>
      <c r="P41" s="219">
        <f t="shared" si="13"/>
        <v>66.890050841258429</v>
      </c>
      <c r="Q41" s="219">
        <f t="shared" si="14"/>
        <v>24.845991216358211</v>
      </c>
      <c r="R41" s="219">
        <f t="shared" si="19"/>
        <v>99.082708374239672</v>
      </c>
      <c r="S41" s="220">
        <f t="shared" si="20"/>
        <v>73.733035661848248</v>
      </c>
      <c r="T41" s="221">
        <f t="shared" si="15"/>
        <v>-66.890050841258429</v>
      </c>
      <c r="U41" s="222">
        <f t="shared" si="16"/>
        <v>-24.845991216358211</v>
      </c>
      <c r="V41" s="223">
        <f t="shared" si="17"/>
        <v>-99.082708374239672</v>
      </c>
      <c r="W41" s="223">
        <f t="shared" si="18"/>
        <v>-73.733035661848248</v>
      </c>
      <c r="X41" s="223"/>
      <c r="Y41" s="280"/>
    </row>
    <row r="42" spans="13:25" hidden="1">
      <c r="M42" s="287">
        <f t="shared" si="11"/>
        <v>26.838667971967119</v>
      </c>
      <c r="N42" s="288">
        <f t="shared" si="2"/>
        <v>26.838667971967119</v>
      </c>
      <c r="O42" s="289">
        <f t="shared" si="12"/>
        <v>0.46842312296037542</v>
      </c>
      <c r="P42" s="219">
        <f t="shared" si="13"/>
        <v>67.127792450199777</v>
      </c>
      <c r="Q42" s="219">
        <f t="shared" si="14"/>
        <v>24.608249607416862</v>
      </c>
      <c r="R42" s="219">
        <f t="shared" si="19"/>
        <v>99.494652448869886</v>
      </c>
      <c r="S42" s="220">
        <f t="shared" si="20"/>
        <v>73.321091587218049</v>
      </c>
      <c r="T42" s="221">
        <f t="shared" si="15"/>
        <v>-67.127792450199777</v>
      </c>
      <c r="U42" s="222">
        <f t="shared" si="16"/>
        <v>-24.608249607416862</v>
      </c>
      <c r="V42" s="223">
        <f t="shared" si="17"/>
        <v>-99.494652448869886</v>
      </c>
      <c r="W42" s="223">
        <f t="shared" si="18"/>
        <v>-73.321091587218049</v>
      </c>
      <c r="X42" s="223"/>
      <c r="Y42" s="280"/>
    </row>
    <row r="43" spans="13:25" hidden="1">
      <c r="M43" s="287">
        <f t="shared" si="11"/>
        <v>26.545148204827989</v>
      </c>
      <c r="N43" s="288">
        <f t="shared" si="2"/>
        <v>26.545148204827989</v>
      </c>
      <c r="O43" s="289">
        <f t="shared" si="12"/>
        <v>0.46330023660411052</v>
      </c>
      <c r="P43" s="219">
        <f t="shared" si="13"/>
        <v>67.35762139632692</v>
      </c>
      <c r="Q43" s="219">
        <f t="shared" si="14"/>
        <v>24.378420661289713</v>
      </c>
      <c r="R43" s="219">
        <f t="shared" si="19"/>
        <v>99.885331959822551</v>
      </c>
      <c r="S43" s="220">
        <f t="shared" si="20"/>
        <v>72.93041207626537</v>
      </c>
      <c r="T43" s="221">
        <f t="shared" si="15"/>
        <v>-67.35762139632692</v>
      </c>
      <c r="U43" s="222">
        <f t="shared" si="16"/>
        <v>-24.378420661289713</v>
      </c>
      <c r="V43" s="223">
        <f t="shared" si="17"/>
        <v>-99.885331959822551</v>
      </c>
      <c r="W43" s="223">
        <f t="shared" si="18"/>
        <v>-72.93041207626537</v>
      </c>
      <c r="X43" s="223"/>
      <c r="Y43" s="280"/>
    </row>
    <row r="44" spans="13:25" hidden="1">
      <c r="M44" s="287">
        <f t="shared" si="11"/>
        <v>26.251628437688858</v>
      </c>
      <c r="N44" s="288">
        <f t="shared" si="2"/>
        <v>26.251628437688858</v>
      </c>
      <c r="O44" s="289">
        <f t="shared" si="12"/>
        <v>0.45817735024784562</v>
      </c>
      <c r="P44" s="219">
        <f t="shared" si="13"/>
        <v>67.579834052307731</v>
      </c>
      <c r="Q44" s="219">
        <f t="shared" si="14"/>
        <v>24.156208005308905</v>
      </c>
      <c r="R44" s="219">
        <f t="shared" si="19"/>
        <v>100.25661952724205</v>
      </c>
      <c r="S44" s="220">
        <f t="shared" si="20"/>
        <v>72.559124508845869</v>
      </c>
      <c r="T44" s="221">
        <f t="shared" si="15"/>
        <v>-67.579834052307731</v>
      </c>
      <c r="U44" s="222">
        <f t="shared" si="16"/>
        <v>-24.156208005308905</v>
      </c>
      <c r="V44" s="223">
        <f t="shared" si="17"/>
        <v>-100.25661952724205</v>
      </c>
      <c r="W44" s="223">
        <f t="shared" si="18"/>
        <v>-72.559124508845869</v>
      </c>
      <c r="X44" s="223"/>
      <c r="Y44" s="280"/>
    </row>
    <row r="45" spans="13:25" hidden="1">
      <c r="M45" s="287">
        <f t="shared" si="11"/>
        <v>25.958108670549727</v>
      </c>
      <c r="N45" s="288">
        <f t="shared" si="2"/>
        <v>25.958108670549727</v>
      </c>
      <c r="O45" s="289">
        <f t="shared" si="12"/>
        <v>0.45305446389158077</v>
      </c>
      <c r="P45" s="219">
        <f t="shared" si="13"/>
        <v>67.794705710770117</v>
      </c>
      <c r="Q45" s="219">
        <f t="shared" si="14"/>
        <v>23.941336346846533</v>
      </c>
      <c r="R45" s="219">
        <f t="shared" si="19"/>
        <v>100.61010570095127</v>
      </c>
      <c r="S45" s="220">
        <f t="shared" si="20"/>
        <v>72.205638335136669</v>
      </c>
      <c r="T45" s="221">
        <f t="shared" si="15"/>
        <v>-67.794705710770117</v>
      </c>
      <c r="U45" s="222">
        <f t="shared" si="16"/>
        <v>-23.941336346846533</v>
      </c>
      <c r="V45" s="223">
        <f t="shared" si="17"/>
        <v>-100.61010570095127</v>
      </c>
      <c r="W45" s="223">
        <f t="shared" si="18"/>
        <v>-72.205638335136669</v>
      </c>
      <c r="X45" s="223"/>
      <c r="Y45" s="280"/>
    </row>
    <row r="46" spans="13:25" hidden="1">
      <c r="M46" s="287">
        <f t="shared" si="11"/>
        <v>25.664588903410596</v>
      </c>
      <c r="N46" s="288">
        <f t="shared" si="2"/>
        <v>25.664588903410596</v>
      </c>
      <c r="O46" s="289">
        <f t="shared" si="12"/>
        <v>0.44793157753531587</v>
      </c>
      <c r="P46" s="219">
        <f t="shared" si="13"/>
        <v>68.002492590494782</v>
      </c>
      <c r="Q46" s="219">
        <f t="shared" si="14"/>
        <v>23.733549467121851</v>
      </c>
      <c r="R46" s="219">
        <f t="shared" si="19"/>
        <v>100.94715550080991</v>
      </c>
      <c r="S46" s="220">
        <f t="shared" si="20"/>
        <v>71.868588535278008</v>
      </c>
      <c r="T46" s="221">
        <f t="shared" si="15"/>
        <v>-68.002492590494782</v>
      </c>
      <c r="U46" s="222">
        <f t="shared" si="16"/>
        <v>-23.733549467121851</v>
      </c>
      <c r="V46" s="223">
        <f t="shared" si="17"/>
        <v>-100.94715550080991</v>
      </c>
      <c r="W46" s="223">
        <f t="shared" si="18"/>
        <v>-71.868588535278008</v>
      </c>
      <c r="X46" s="223"/>
      <c r="Y46" s="280"/>
    </row>
    <row r="47" spans="13:25" hidden="1">
      <c r="M47" s="287">
        <f t="shared" si="11"/>
        <v>25.371069136271466</v>
      </c>
      <c r="N47" s="288">
        <f t="shared" si="2"/>
        <v>25.371069136271466</v>
      </c>
      <c r="O47" s="289">
        <f t="shared" si="12"/>
        <v>0.44280869117905097</v>
      </c>
      <c r="P47" s="219">
        <f t="shared" si="13"/>
        <v>68.2034335984238</v>
      </c>
      <c r="Q47" s="219">
        <f t="shared" si="14"/>
        <v>23.532608459192836</v>
      </c>
      <c r="R47" s="219">
        <f t="shared" si="19"/>
        <v>101.26895109135263</v>
      </c>
      <c r="S47" s="220">
        <f t="shared" si="20"/>
        <v>71.546792944735287</v>
      </c>
      <c r="T47" s="221">
        <f t="shared" si="15"/>
        <v>-68.2034335984238</v>
      </c>
      <c r="U47" s="222">
        <f>IF(Q47&lt;0,ABS(Q47),IF(Q47&gt;360,Q47-(Q47-360),IF(AND(Q47&gt;180,Q47&lt;360),ABS(360-Q47),-Q47)))</f>
        <v>-23.532608459192836</v>
      </c>
      <c r="V47" s="223">
        <f t="shared" si="17"/>
        <v>-101.26895109135263</v>
      </c>
      <c r="W47" s="223">
        <f t="shared" si="18"/>
        <v>-71.546792944735287</v>
      </c>
      <c r="X47" s="223"/>
      <c r="Y47" s="280"/>
    </row>
    <row r="48" spans="13:25" hidden="1">
      <c r="M48" s="287">
        <f t="shared" si="11"/>
        <v>25.077549369132335</v>
      </c>
      <c r="N48" s="288">
        <f t="shared" si="2"/>
        <v>25.077549369132335</v>
      </c>
      <c r="O48" s="289">
        <f t="shared" si="12"/>
        <v>0.43768580482278607</v>
      </c>
      <c r="P48" s="219">
        <f t="shared" si="13"/>
        <v>68.397751882964755</v>
      </c>
      <c r="Q48" s="219">
        <f t="shared" si="14"/>
        <v>23.338290174651878</v>
      </c>
      <c r="R48" s="219">
        <f t="shared" si="19"/>
        <v>101.57652454093183</v>
      </c>
      <c r="S48" s="220">
        <f t="shared" si="20"/>
        <v>71.239219495156092</v>
      </c>
      <c r="T48" s="221">
        <f t="shared" si="15"/>
        <v>-68.397751882964755</v>
      </c>
      <c r="U48" s="222">
        <f t="shared" si="16"/>
        <v>-23.338290174651878</v>
      </c>
      <c r="V48" s="223">
        <f t="shared" si="17"/>
        <v>-101.57652454093183</v>
      </c>
      <c r="W48" s="223">
        <f t="shared" si="18"/>
        <v>-71.239219495156092</v>
      </c>
      <c r="X48" s="223"/>
      <c r="Y48" s="280"/>
    </row>
    <row r="49" spans="13:25" hidden="1">
      <c r="M49" s="287">
        <f t="shared" si="11"/>
        <v>24.784029601993204</v>
      </c>
      <c r="N49" s="288">
        <f t="shared" si="2"/>
        <v>24.784029601993204</v>
      </c>
      <c r="O49" s="289">
        <f t="shared" si="12"/>
        <v>0.43256291846652117</v>
      </c>
      <c r="P49" s="219">
        <f t="shared" si="13"/>
        <v>68.585656208115637</v>
      </c>
      <c r="Q49" s="219">
        <f t="shared" si="14"/>
        <v>23.150385849501003</v>
      </c>
      <c r="R49" s="219">
        <f t="shared" si="19"/>
        <v>101.87078334934735</v>
      </c>
      <c r="S49" s="220">
        <f t="shared" si="20"/>
        <v>70.944960686740586</v>
      </c>
      <c r="T49" s="221">
        <f t="shared" si="15"/>
        <v>-68.585656208115637</v>
      </c>
      <c r="U49" s="222">
        <f t="shared" si="16"/>
        <v>-23.150385849501003</v>
      </c>
      <c r="V49" s="223">
        <f t="shared" si="17"/>
        <v>-101.87078334934735</v>
      </c>
      <c r="W49" s="223">
        <f t="shared" si="18"/>
        <v>-70.944960686740586</v>
      </c>
      <c r="X49" s="223"/>
      <c r="Y49" s="280"/>
    </row>
    <row r="50" spans="13:25" hidden="1">
      <c r="M50" s="287">
        <f t="shared" si="11"/>
        <v>24.490509834854073</v>
      </c>
      <c r="N50" s="288">
        <f t="shared" si="2"/>
        <v>24.490509834854073</v>
      </c>
      <c r="O50" s="289">
        <f t="shared" si="12"/>
        <v>0.42744003211025633</v>
      </c>
      <c r="P50" s="219">
        <f t="shared" si="13"/>
        <v>68.767342173102605</v>
      </c>
      <c r="Q50" s="219">
        <f t="shared" si="14"/>
        <v>22.968699884514034</v>
      </c>
      <c r="R50" s="219">
        <f t="shared" si="19"/>
        <v>102.15253060842319</v>
      </c>
      <c r="S50" s="220">
        <f t="shared" si="20"/>
        <v>70.663213427664743</v>
      </c>
      <c r="T50" s="221">
        <f t="shared" si="15"/>
        <v>-68.767342173102605</v>
      </c>
      <c r="U50" s="222">
        <f t="shared" si="16"/>
        <v>-22.968699884514034</v>
      </c>
      <c r="V50" s="223">
        <f t="shared" si="17"/>
        <v>-102.15253060842319</v>
      </c>
      <c r="W50" s="223">
        <f t="shared" si="18"/>
        <v>-70.663213427664743</v>
      </c>
      <c r="X50" s="223"/>
      <c r="Y50" s="280"/>
    </row>
    <row r="51" spans="13:25" hidden="1">
      <c r="M51" s="287">
        <f t="shared" si="11"/>
        <v>24.196990067714943</v>
      </c>
      <c r="N51" s="288">
        <f t="shared" si="2"/>
        <v>24.196990067714943</v>
      </c>
      <c r="O51" s="289">
        <f t="shared" si="12"/>
        <v>0.42231714575399143</v>
      </c>
      <c r="P51" s="219">
        <f t="shared" si="13"/>
        <v>68.942993298286254</v>
      </c>
      <c r="Q51" s="219">
        <f t="shared" si="14"/>
        <v>22.7930487593304</v>
      </c>
      <c r="R51" s="219">
        <f t="shared" si="19"/>
        <v>102.42248111649816</v>
      </c>
      <c r="S51" s="220">
        <f t="shared" si="20"/>
        <v>70.393262919589759</v>
      </c>
      <c r="T51" s="221">
        <f t="shared" si="15"/>
        <v>-68.942993298286254</v>
      </c>
      <c r="U51" s="222">
        <f t="shared" si="16"/>
        <v>-22.7930487593304</v>
      </c>
      <c r="V51" s="223">
        <f t="shared" si="17"/>
        <v>-102.42248111649816</v>
      </c>
      <c r="W51" s="223">
        <f t="shared" si="18"/>
        <v>-70.393262919589759</v>
      </c>
      <c r="X51" s="223"/>
      <c r="Y51" s="280"/>
    </row>
    <row r="52" spans="13:25" hidden="1">
      <c r="M52" s="287">
        <f t="shared" si="11"/>
        <v>23.903470300575812</v>
      </c>
      <c r="N52" s="288">
        <f t="shared" si="2"/>
        <v>23.903470300575812</v>
      </c>
      <c r="O52" s="289">
        <f t="shared" si="12"/>
        <v>0.41719425939772653</v>
      </c>
      <c r="P52" s="219">
        <f t="shared" si="13"/>
        <v>69.112781994858878</v>
      </c>
      <c r="Q52" s="219">
        <f t="shared" si="14"/>
        <v>22.623260062757765</v>
      </c>
      <c r="R52" s="219">
        <f t="shared" si="19"/>
        <v>102.68127439942268</v>
      </c>
      <c r="S52" s="220">
        <f t="shared" si="20"/>
        <v>70.134469636665244</v>
      </c>
      <c r="T52" s="221">
        <f t="shared" si="15"/>
        <v>-69.112781994858878</v>
      </c>
      <c r="U52" s="222">
        <f t="shared" si="16"/>
        <v>-22.623260062757765</v>
      </c>
      <c r="V52" s="223">
        <f t="shared" si="17"/>
        <v>-102.68127439942268</v>
      </c>
      <c r="W52" s="223">
        <f t="shared" si="18"/>
        <v>-70.134469636665244</v>
      </c>
      <c r="X52" s="223"/>
      <c r="Y52" s="280"/>
    </row>
    <row r="53" spans="13:25" hidden="1">
      <c r="M53" s="287">
        <f t="shared" si="11"/>
        <v>23.609950533436681</v>
      </c>
      <c r="N53" s="288">
        <f t="shared" si="2"/>
        <v>23.609950533436681</v>
      </c>
      <c r="O53" s="289">
        <f t="shared" si="12"/>
        <v>0.41207137304146163</v>
      </c>
      <c r="P53" s="219">
        <f t="shared" si="13"/>
        <v>69.276870433194205</v>
      </c>
      <c r="Q53" s="219">
        <f t="shared" si="14"/>
        <v>22.459171624422435</v>
      </c>
      <c r="R53" s="219">
        <f t="shared" si="19"/>
        <v>102.92948533604883</v>
      </c>
      <c r="S53" s="220">
        <f t="shared" si="20"/>
        <v>69.886258700039093</v>
      </c>
      <c r="T53" s="221">
        <f t="shared" si="15"/>
        <v>-69.276870433194205</v>
      </c>
      <c r="U53" s="222">
        <f t="shared" si="16"/>
        <v>-22.459171624422435</v>
      </c>
      <c r="V53" s="223">
        <f t="shared" si="17"/>
        <v>-102.92948533604883</v>
      </c>
      <c r="W53" s="223">
        <f t="shared" si="18"/>
        <v>-69.886258700039093</v>
      </c>
      <c r="X53" s="223"/>
      <c r="Y53" s="280"/>
    </row>
    <row r="54" spans="13:25" hidden="1">
      <c r="M54" s="287">
        <f t="shared" si="11"/>
        <v>23.31643076629755</v>
      </c>
      <c r="N54" s="288">
        <f t="shared" si="2"/>
        <v>23.31643076629755</v>
      </c>
      <c r="O54" s="289">
        <f t="shared" si="12"/>
        <v>0.40694848668519673</v>
      </c>
      <c r="P54" s="219">
        <f t="shared" si="13"/>
        <v>69.435411322503214</v>
      </c>
      <c r="Q54" s="219">
        <f t="shared" si="14"/>
        <v>22.300630735113426</v>
      </c>
      <c r="R54" s="219">
        <f t="shared" si="19"/>
        <v>103.16763290708649</v>
      </c>
      <c r="S54" s="220">
        <f t="shared" si="20"/>
        <v>69.64811112900145</v>
      </c>
      <c r="T54" s="221">
        <f t="shared" si="15"/>
        <v>-69.435411322503214</v>
      </c>
      <c r="U54" s="222">
        <f t="shared" si="16"/>
        <v>-22.300630735113426</v>
      </c>
      <c r="V54" s="223">
        <f t="shared" si="17"/>
        <v>-103.16763290708649</v>
      </c>
      <c r="W54" s="223">
        <f t="shared" si="18"/>
        <v>-69.64811112900145</v>
      </c>
      <c r="X54" s="223"/>
      <c r="Y54" s="280"/>
    </row>
    <row r="55" spans="13:25" hidden="1">
      <c r="M55" s="287">
        <f t="shared" si="11"/>
        <v>23.02291099915842</v>
      </c>
      <c r="N55" s="288">
        <f t="shared" si="2"/>
        <v>23.02291099915842</v>
      </c>
      <c r="O55" s="289">
        <f t="shared" si="12"/>
        <v>0.40182560032893189</v>
      </c>
      <c r="P55" s="219">
        <f t="shared" si="13"/>
        <v>69.588548612615043</v>
      </c>
      <c r="Q55" s="219">
        <f t="shared" si="14"/>
        <v>22.147493445001597</v>
      </c>
      <c r="R55" s="219">
        <f t="shared" si="19"/>
        <v>103.39618745816145</v>
      </c>
      <c r="S55" s="220">
        <f t="shared" si="20"/>
        <v>69.419556577926471</v>
      </c>
      <c r="T55" s="221">
        <f t="shared" si="15"/>
        <v>-69.588548612615043</v>
      </c>
      <c r="U55" s="222">
        <f t="shared" si="16"/>
        <v>-22.147493445001597</v>
      </c>
      <c r="V55" s="223">
        <f t="shared" si="17"/>
        <v>-103.39618745816145</v>
      </c>
      <c r="W55" s="223">
        <f t="shared" si="18"/>
        <v>-69.419556577926471</v>
      </c>
      <c r="X55" s="223"/>
      <c r="Y55" s="280"/>
    </row>
    <row r="56" spans="13:25" hidden="1">
      <c r="M56" s="287">
        <f t="shared" si="11"/>
        <v>22.729391232019289</v>
      </c>
      <c r="N56" s="288">
        <f t="shared" si="2"/>
        <v>22.729391232019289</v>
      </c>
      <c r="O56" s="289">
        <f t="shared" si="12"/>
        <v>0.39670271397266699</v>
      </c>
      <c r="P56" s="219">
        <f t="shared" si="13"/>
        <v>69.736418127165692</v>
      </c>
      <c r="Q56" s="219">
        <f t="shared" si="14"/>
        <v>21.999623930450952</v>
      </c>
      <c r="R56" s="219">
        <f t="shared" si="19"/>
        <v>103.61557677502879</v>
      </c>
      <c r="S56" s="220">
        <f t="shared" si="20"/>
        <v>69.200167261059136</v>
      </c>
      <c r="T56" s="221">
        <f t="shared" si="15"/>
        <v>-69.736418127165692</v>
      </c>
      <c r="U56" s="222">
        <f t="shared" si="16"/>
        <v>-21.999623930450952</v>
      </c>
      <c r="V56" s="223">
        <f t="shared" si="17"/>
        <v>-103.61557677502879</v>
      </c>
      <c r="W56" s="223">
        <f t="shared" si="18"/>
        <v>-69.200167261059136</v>
      </c>
      <c r="X56" s="223"/>
      <c r="Y56" s="280"/>
    </row>
    <row r="57" spans="13:25" hidden="1">
      <c r="M57" s="287">
        <f t="shared" si="11"/>
        <v>22.435871464880158</v>
      </c>
      <c r="N57" s="288">
        <f t="shared" si="2"/>
        <v>22.435871464880158</v>
      </c>
      <c r="O57" s="289">
        <f t="shared" si="12"/>
        <v>0.39157982761640209</v>
      </c>
      <c r="P57" s="219">
        <f t="shared" si="13"/>
        <v>69.879148136189386</v>
      </c>
      <c r="Q57" s="219">
        <f t="shared" si="14"/>
        <v>21.85689392142725</v>
      </c>
      <c r="R57" s="219">
        <f t="shared" si="19"/>
        <v>103.82619120061563</v>
      </c>
      <c r="S57" s="220">
        <f t="shared" si="20"/>
        <v>68.989552835472296</v>
      </c>
      <c r="T57" s="221">
        <f t="shared" si="15"/>
        <v>-69.879148136189386</v>
      </c>
      <c r="U57" s="222">
        <f t="shared" si="16"/>
        <v>-21.85689392142725</v>
      </c>
      <c r="V57" s="223">
        <f t="shared" si="17"/>
        <v>-103.82619120061563</v>
      </c>
      <c r="W57" s="223">
        <f t="shared" si="18"/>
        <v>-68.989552835472296</v>
      </c>
      <c r="X57" s="223"/>
      <c r="Y57" s="280"/>
    </row>
    <row r="58" spans="13:25" hidden="1">
      <c r="M58" s="287">
        <f t="shared" si="11"/>
        <v>22.142351697741027</v>
      </c>
      <c r="N58" s="288">
        <f t="shared" si="2"/>
        <v>22.142351697741027</v>
      </c>
      <c r="O58" s="289">
        <f t="shared" si="12"/>
        <v>0.38645694126013719</v>
      </c>
      <c r="P58" s="219">
        <f t="shared" si="13"/>
        <v>70.016859875020529</v>
      </c>
      <c r="Q58" s="219">
        <f t="shared" si="14"/>
        <v>21.719182182596114</v>
      </c>
      <c r="R58" s="219">
        <f t="shared" si="19"/>
        <v>104.0283879727435</v>
      </c>
      <c r="S58" s="220">
        <f t="shared" si="20"/>
        <v>68.787356063344419</v>
      </c>
      <c r="T58" s="221">
        <f t="shared" si="15"/>
        <v>-70.016859875020529</v>
      </c>
      <c r="U58" s="222">
        <f t="shared" si="16"/>
        <v>-21.719182182596114</v>
      </c>
      <c r="V58" s="223">
        <f t="shared" si="17"/>
        <v>-104.0283879727435</v>
      </c>
      <c r="W58" s="223">
        <f t="shared" si="18"/>
        <v>-68.787356063344419</v>
      </c>
      <c r="X58" s="223"/>
      <c r="Y58" s="280"/>
    </row>
    <row r="59" spans="13:25" hidden="1">
      <c r="M59" s="287">
        <f t="shared" si="11"/>
        <v>21.848831930601897</v>
      </c>
      <c r="N59" s="288">
        <f t="shared" si="2"/>
        <v>21.848831930601897</v>
      </c>
      <c r="O59" s="289">
        <f t="shared" si="12"/>
        <v>0.38133405490387229</v>
      </c>
      <c r="P59" s="219">
        <f t="shared" si="13"/>
        <v>70.14966801549447</v>
      </c>
      <c r="Q59" s="219">
        <f t="shared" si="14"/>
        <v>21.586374042122184</v>
      </c>
      <c r="R59" s="219">
        <f t="shared" si="19"/>
        <v>104.22249492312265</v>
      </c>
      <c r="S59" s="220">
        <f t="shared" si="20"/>
        <v>68.593249112965267</v>
      </c>
      <c r="T59" s="221">
        <f t="shared" si="15"/>
        <v>-70.14966801549447</v>
      </c>
      <c r="U59" s="222">
        <f t="shared" si="16"/>
        <v>-21.586374042122184</v>
      </c>
      <c r="V59" s="223">
        <f t="shared" si="17"/>
        <v>-104.22249492312265</v>
      </c>
      <c r="W59" s="223">
        <f t="shared" si="18"/>
        <v>-68.593249112965267</v>
      </c>
      <c r="X59" s="223"/>
      <c r="Y59" s="280"/>
    </row>
    <row r="60" spans="13:25" hidden="1">
      <c r="M60" s="287">
        <f t="shared" si="11"/>
        <v>21.555312163462766</v>
      </c>
      <c r="N60" s="288">
        <f t="shared" si="2"/>
        <v>21.555312163462766</v>
      </c>
      <c r="O60" s="289">
        <f t="shared" si="12"/>
        <v>0.37621116854760744</v>
      </c>
      <c r="P60" s="219">
        <f t="shared" si="13"/>
        <v>70.277681094655392</v>
      </c>
      <c r="Q60" s="219">
        <f t="shared" si="14"/>
        <v>21.458360962961258</v>
      </c>
      <c r="R60" s="219">
        <f t="shared" si="19"/>
        <v>104.40881364910456</v>
      </c>
      <c r="S60" s="220">
        <f t="shared" si="20"/>
        <v>68.406930386983362</v>
      </c>
      <c r="T60" s="221">
        <f t="shared" si="15"/>
        <v>-70.277681094655392</v>
      </c>
      <c r="U60" s="222">
        <f t="shared" si="16"/>
        <v>-21.458360962961258</v>
      </c>
      <c r="V60" s="223">
        <f t="shared" si="17"/>
        <v>-104.40881364910456</v>
      </c>
      <c r="W60" s="223">
        <f t="shared" si="18"/>
        <v>-68.406930386983362</v>
      </c>
      <c r="X60" s="223"/>
      <c r="Y60" s="280"/>
    </row>
    <row r="61" spans="13:25" hidden="1">
      <c r="M61" s="287">
        <f t="shared" si="11"/>
        <v>21.261792396323635</v>
      </c>
      <c r="N61" s="288">
        <f t="shared" si="2"/>
        <v>21.261792396323635</v>
      </c>
      <c r="O61" s="289">
        <f t="shared" si="12"/>
        <v>0.37108828219134254</v>
      </c>
      <c r="P61" s="219">
        <f t="shared" si="13"/>
        <v>70.401001905513041</v>
      </c>
      <c r="Q61" s="219">
        <f t="shared" si="14"/>
        <v>21.335040152103598</v>
      </c>
      <c r="R61" s="219">
        <f t="shared" si="19"/>
        <v>104.58762224731863</v>
      </c>
      <c r="S61" s="220">
        <f t="shared" si="20"/>
        <v>68.228121788769286</v>
      </c>
      <c r="T61" s="221">
        <f t="shared" si="15"/>
        <v>-70.401001905513041</v>
      </c>
      <c r="U61" s="222">
        <f t="shared" si="16"/>
        <v>-21.335040152103598</v>
      </c>
      <c r="V61" s="223">
        <f t="shared" si="17"/>
        <v>-104.58762224731863</v>
      </c>
      <c r="W61" s="223">
        <f t="shared" si="18"/>
        <v>-68.228121788769286</v>
      </c>
      <c r="X61" s="223"/>
      <c r="Y61" s="280"/>
    </row>
    <row r="62" spans="13:25" hidden="1">
      <c r="M62" s="287">
        <f t="shared" si="11"/>
        <v>20.968272629184504</v>
      </c>
      <c r="N62" s="288">
        <f t="shared" si="2"/>
        <v>20.968272629184504</v>
      </c>
      <c r="O62" s="289">
        <f t="shared" si="12"/>
        <v>0.36596539583507764</v>
      </c>
      <c r="P62" s="219">
        <f t="shared" si="13"/>
        <v>70.519727853820029</v>
      </c>
      <c r="Q62" s="219">
        <f t="shared" si="14"/>
        <v>21.2163142037966</v>
      </c>
      <c r="R62" s="219">
        <f t="shared" si="19"/>
        <v>104.75917768098547</v>
      </c>
      <c r="S62" s="220">
        <f t="shared" si="20"/>
        <v>68.056566355102447</v>
      </c>
      <c r="T62" s="221">
        <f t="shared" si="15"/>
        <v>-70.519727853820029</v>
      </c>
      <c r="U62" s="222">
        <f t="shared" si="16"/>
        <v>-21.2163142037966</v>
      </c>
      <c r="V62" s="223">
        <f t="shared" si="17"/>
        <v>-104.75917768098547</v>
      </c>
      <c r="W62" s="223">
        <f t="shared" si="18"/>
        <v>-68.056566355102447</v>
      </c>
      <c r="X62" s="223"/>
      <c r="Y62" s="280"/>
    </row>
    <row r="63" spans="13:25" hidden="1">
      <c r="M63" s="287">
        <f t="shared" si="11"/>
        <v>20.674752862045374</v>
      </c>
      <c r="N63" s="288">
        <f t="shared" si="2"/>
        <v>20.674752862045374</v>
      </c>
      <c r="O63" s="289">
        <f t="shared" si="12"/>
        <v>0.36084250947881275</v>
      </c>
      <c r="P63" s="219">
        <f t="shared" si="13"/>
        <v>70.633951284355305</v>
      </c>
      <c r="Q63" s="219">
        <f t="shared" si="14"/>
        <v>21.102090773261324</v>
      </c>
      <c r="R63" s="219">
        <f t="shared" si="19"/>
        <v>104.92371783914476</v>
      </c>
      <c r="S63" s="220">
        <f t="shared" si="20"/>
        <v>67.892026196943178</v>
      </c>
      <c r="T63" s="221">
        <f t="shared" si="15"/>
        <v>-70.633951284355305</v>
      </c>
      <c r="U63" s="222">
        <f t="shared" si="16"/>
        <v>-21.102090773261324</v>
      </c>
      <c r="V63" s="223">
        <f t="shared" si="17"/>
        <v>-104.92371783914476</v>
      </c>
      <c r="W63" s="223">
        <f t="shared" si="18"/>
        <v>-67.892026196943178</v>
      </c>
      <c r="X63" s="223"/>
      <c r="Y63" s="280"/>
    </row>
    <row r="64" spans="13:25" hidden="1">
      <c r="M64" s="287">
        <f t="shared" si="11"/>
        <v>20.381233094906243</v>
      </c>
      <c r="N64" s="288">
        <f t="shared" si="2"/>
        <v>20.381233094906243</v>
      </c>
      <c r="O64" s="289">
        <f t="shared" si="12"/>
        <v>0.35571962312254785</v>
      </c>
      <c r="P64" s="219">
        <f t="shared" si="13"/>
        <v>70.743759779774862</v>
      </c>
      <c r="Q64" s="219">
        <f t="shared" si="14"/>
        <v>20.99228227784177</v>
      </c>
      <c r="R64" s="219">
        <f t="shared" si="19"/>
        <v>105.08146333535569</v>
      </c>
      <c r="S64" s="220">
        <f t="shared" si="20"/>
        <v>67.734280700732242</v>
      </c>
      <c r="T64" s="221">
        <f t="shared" si="15"/>
        <v>-70.743759779774862</v>
      </c>
      <c r="U64" s="222">
        <f t="shared" si="16"/>
        <v>-20.99228227784177</v>
      </c>
      <c r="V64" s="223">
        <f t="shared" si="17"/>
        <v>-105.08146333535569</v>
      </c>
      <c r="W64" s="223">
        <f t="shared" si="18"/>
        <v>-67.734280700732242</v>
      </c>
      <c r="X64" s="223"/>
      <c r="Y64" s="280"/>
    </row>
    <row r="65" spans="13:25" hidden="1">
      <c r="M65" s="287">
        <f t="shared" si="11"/>
        <v>20.087713327767112</v>
      </c>
      <c r="N65" s="288">
        <f t="shared" si="2"/>
        <v>20.087713327767112</v>
      </c>
      <c r="O65" s="289">
        <f t="shared" si="12"/>
        <v>0.350596736766283</v>
      </c>
      <c r="P65" s="219">
        <f t="shared" si="13"/>
        <v>70.849236434731679</v>
      </c>
      <c r="Q65" s="219">
        <f t="shared" si="14"/>
        <v>20.886805622884975</v>
      </c>
      <c r="R65" s="219">
        <f t="shared" si="19"/>
        <v>105.23261908494689</v>
      </c>
      <c r="S65" s="220">
        <f t="shared" si="20"/>
        <v>67.583124951141045</v>
      </c>
      <c r="T65" s="221">
        <f t="shared" si="15"/>
        <v>-70.849236434731679</v>
      </c>
      <c r="U65" s="222">
        <f t="shared" si="16"/>
        <v>-20.886805622884975</v>
      </c>
      <c r="V65" s="223">
        <f t="shared" si="17"/>
        <v>-105.23261908494689</v>
      </c>
      <c r="W65" s="223">
        <f t="shared" si="18"/>
        <v>-67.583124951141045</v>
      </c>
      <c r="X65" s="223"/>
      <c r="Y65" s="280"/>
    </row>
    <row r="66" spans="13:25" hidden="1">
      <c r="M66" s="287">
        <f t="shared" si="11"/>
        <v>19.794193560627981</v>
      </c>
      <c r="N66" s="288">
        <f t="shared" si="2"/>
        <v>19.794193560627981</v>
      </c>
      <c r="O66" s="289">
        <f t="shared" si="12"/>
        <v>0.3454738504100181</v>
      </c>
      <c r="P66" s="219">
        <f t="shared" si="13"/>
        <v>70.950460107648851</v>
      </c>
      <c r="Q66" s="219">
        <f t="shared" si="14"/>
        <v>20.785581949967799</v>
      </c>
      <c r="R66" s="219">
        <f t="shared" si="19"/>
        <v>105.37737569311106</v>
      </c>
      <c r="S66" s="220">
        <f t="shared" si="20"/>
        <v>67.438368342976858</v>
      </c>
      <c r="T66" s="221">
        <f t="shared" si="15"/>
        <v>-70.950460107648851</v>
      </c>
      <c r="U66" s="222">
        <f t="shared" si="16"/>
        <v>-20.785581949967799</v>
      </c>
      <c r="V66" s="223">
        <f t="shared" si="17"/>
        <v>-105.37737569311106</v>
      </c>
      <c r="W66" s="223">
        <f t="shared" si="18"/>
        <v>-67.438368342976858</v>
      </c>
      <c r="X66" s="223"/>
      <c r="Y66" s="280"/>
    </row>
    <row r="67" spans="13:25" hidden="1">
      <c r="M67" s="287">
        <f t="shared" si="11"/>
        <v>19.500673793488851</v>
      </c>
      <c r="N67" s="288">
        <f t="shared" si="2"/>
        <v>19.500673793488851</v>
      </c>
      <c r="O67" s="289">
        <f t="shared" si="12"/>
        <v>0.3403509640537532</v>
      </c>
      <c r="P67" s="219">
        <f t="shared" si="13"/>
        <v>71.04750565225909</v>
      </c>
      <c r="Q67" s="219">
        <f t="shared" si="14"/>
        <v>20.688536405357549</v>
      </c>
      <c r="R67" s="219">
        <f t="shared" si="19"/>
        <v>105.51591068068386</v>
      </c>
      <c r="S67" s="220">
        <f t="shared" si="20"/>
        <v>67.299833355404061</v>
      </c>
      <c r="T67" s="221">
        <f t="shared" si="15"/>
        <v>-71.04750565225909</v>
      </c>
      <c r="U67" s="222">
        <f t="shared" si="16"/>
        <v>-20.688536405357549</v>
      </c>
      <c r="V67" s="223">
        <f t="shared" si="17"/>
        <v>-105.51591068068386</v>
      </c>
      <c r="W67" s="223">
        <f t="shared" si="18"/>
        <v>-67.299833355404061</v>
      </c>
      <c r="X67" s="223"/>
      <c r="Y67" s="280"/>
    </row>
    <row r="68" spans="13:25" hidden="1">
      <c r="M68" s="287">
        <f t="shared" si="11"/>
        <v>19.20715402634972</v>
      </c>
      <c r="N68" s="288">
        <f t="shared" si="2"/>
        <v>19.20715402634972</v>
      </c>
      <c r="O68" s="289">
        <f t="shared" si="12"/>
        <v>0.3352280776974883</v>
      </c>
      <c r="P68" s="219">
        <f t="shared" si="13"/>
        <v>71.140444130784644</v>
      </c>
      <c r="Q68" s="219">
        <f t="shared" si="14"/>
        <v>20.595597926831996</v>
      </c>
      <c r="R68" s="219">
        <f t="shared" si="19"/>
        <v>105.64838957002456</v>
      </c>
      <c r="S68" s="220">
        <f t="shared" si="20"/>
        <v>67.167354466063358</v>
      </c>
      <c r="T68" s="221">
        <f t="shared" si="15"/>
        <v>-71.140444130784644</v>
      </c>
      <c r="U68" s="222">
        <f t="shared" si="16"/>
        <v>-20.595597926831996</v>
      </c>
      <c r="V68" s="223">
        <f t="shared" si="17"/>
        <v>-105.64838957002456</v>
      </c>
      <c r="W68" s="223">
        <f t="shared" si="18"/>
        <v>-67.167354466063358</v>
      </c>
      <c r="X68" s="223"/>
      <c r="Y68" s="280"/>
    </row>
    <row r="69" spans="13:25" hidden="1">
      <c r="M69" s="287">
        <f t="shared" si="11"/>
        <v>18.913634259210589</v>
      </c>
      <c r="N69" s="288">
        <f t="shared" si="2"/>
        <v>18.913634259210589</v>
      </c>
      <c r="O69" s="289">
        <f t="shared" si="12"/>
        <v>0.3301051913412234</v>
      </c>
      <c r="P69" s="219">
        <f t="shared" si="13"/>
        <v>71.229343010424245</v>
      </c>
      <c r="Q69" s="219">
        <f t="shared" si="14"/>
        <v>20.506699047192388</v>
      </c>
      <c r="R69" s="219">
        <f t="shared" si="19"/>
        <v>105.77496684981726</v>
      </c>
      <c r="S69" s="220">
        <f t="shared" si="20"/>
        <v>67.040777186270674</v>
      </c>
      <c r="T69" s="221">
        <f t="shared" si="15"/>
        <v>-71.229343010424245</v>
      </c>
      <c r="U69" s="222">
        <f t="shared" si="16"/>
        <v>-20.506699047192388</v>
      </c>
      <c r="V69" s="223">
        <f t="shared" si="17"/>
        <v>-105.77496684981726</v>
      </c>
      <c r="W69" s="223">
        <f t="shared" si="18"/>
        <v>-67.040777186270674</v>
      </c>
      <c r="X69" s="223"/>
      <c r="Y69" s="280"/>
    </row>
    <row r="70" spans="13:25" hidden="1">
      <c r="M70" s="287">
        <f t="shared" si="11"/>
        <v>18.620114492071458</v>
      </c>
      <c r="N70" s="288">
        <f t="shared" si="2"/>
        <v>18.620114492071458</v>
      </c>
      <c r="O70" s="289">
        <f t="shared" si="12"/>
        <v>0.32498230498495856</v>
      </c>
      <c r="P70" s="219">
        <f t="shared" si="13"/>
        <v>71.314266344632401</v>
      </c>
      <c r="Q70" s="219">
        <f t="shared" si="14"/>
        <v>20.421775712984235</v>
      </c>
      <c r="R70" s="219">
        <f t="shared" si="19"/>
        <v>105.89578683465966</v>
      </c>
      <c r="S70" s="220">
        <f t="shared" si="20"/>
        <v>66.919957201428261</v>
      </c>
      <c r="T70" s="221">
        <f t="shared" si="15"/>
        <v>-71.314266344632401</v>
      </c>
      <c r="U70" s="222">
        <f t="shared" si="16"/>
        <v>-20.421775712984235</v>
      </c>
      <c r="V70" s="223">
        <f t="shared" si="17"/>
        <v>-105.89578683465966</v>
      </c>
      <c r="W70" s="223">
        <f t="shared" si="18"/>
        <v>-66.919957201428261</v>
      </c>
      <c r="X70" s="223"/>
      <c r="Y70" s="280"/>
    </row>
    <row r="71" spans="13:25" hidden="1">
      <c r="M71" s="287">
        <f t="shared" si="11"/>
        <v>18.326594724932328</v>
      </c>
      <c r="N71" s="288">
        <f t="shared" si="2"/>
        <v>18.326594724932328</v>
      </c>
      <c r="O71" s="289">
        <f t="shared" si="12"/>
        <v>0.31985941862869366</v>
      </c>
      <c r="P71" s="219">
        <f t="shared" si="13"/>
        <v>71.395274940516003</v>
      </c>
      <c r="Q71" s="219">
        <f t="shared" si="14"/>
        <v>20.340767117100651</v>
      </c>
      <c r="R71" s="219">
        <f t="shared" si="19"/>
        <v>106.01098443287927</v>
      </c>
      <c r="S71" s="220">
        <f t="shared" si="20"/>
        <v>66.804759603208666</v>
      </c>
      <c r="T71" s="221">
        <f t="shared" si="15"/>
        <v>-71.395274940516003</v>
      </c>
      <c r="U71" s="222">
        <f t="shared" si="16"/>
        <v>-20.340767117100651</v>
      </c>
      <c r="V71" s="223">
        <f t="shared" si="17"/>
        <v>-106.01098443287927</v>
      </c>
      <c r="W71" s="223">
        <f t="shared" si="18"/>
        <v>-66.804759603208666</v>
      </c>
      <c r="X71" s="223"/>
      <c r="Y71" s="280"/>
    </row>
    <row r="72" spans="13:25" hidden="1">
      <c r="M72" s="287">
        <f t="shared" si="11"/>
        <v>18.033074957793197</v>
      </c>
      <c r="N72" s="288">
        <f t="shared" ref="N72:N135" si="21">N71-step</f>
        <v>18.033074957793197</v>
      </c>
      <c r="O72" s="289">
        <f t="shared" si="12"/>
        <v>0.31473653227242876</v>
      </c>
      <c r="P72" s="219">
        <f t="shared" si="13"/>
        <v>71.472426513533406</v>
      </c>
      <c r="Q72" s="219">
        <f t="shared" si="14"/>
        <v>20.263615544083226</v>
      </c>
      <c r="R72" s="219">
        <f t="shared" ref="R72:R103" si="22">IFERROR(DEGREES(grt_+ACOS((SIN(h_)-SIN(d_)*SIN(O72))/COS(d_)/COS(O72))),#N/A)</f>
        <v>106.12068583400418</v>
      </c>
      <c r="S72" s="220">
        <f t="shared" ref="S72:S103" si="23">IFERROR(DEGREES(grt_-ACOS((SIN(h_)-SIN(d_)*SIN(O72))/COS(d_)/COS(O72))),#N/A)</f>
        <v>66.695058202083743</v>
      </c>
      <c r="T72" s="221">
        <f t="shared" si="15"/>
        <v>-71.472426513533406</v>
      </c>
      <c r="U72" s="222">
        <f t="shared" si="16"/>
        <v>-20.263615544083226</v>
      </c>
      <c r="V72" s="223">
        <f t="shared" si="17"/>
        <v>-106.12068583400418</v>
      </c>
      <c r="W72" s="223">
        <f t="shared" si="18"/>
        <v>-66.695058202083743</v>
      </c>
      <c r="X72" s="223"/>
      <c r="Y72" s="280"/>
    </row>
    <row r="73" spans="13:25" hidden="1">
      <c r="M73" s="287">
        <f t="shared" si="11"/>
        <v>17.739555190654066</v>
      </c>
      <c r="N73" s="288">
        <f t="shared" si="21"/>
        <v>17.739555190654066</v>
      </c>
      <c r="O73" s="289">
        <f t="shared" si="12"/>
        <v>0.30961364591616386</v>
      </c>
      <c r="P73" s="219">
        <f t="shared" si="13"/>
        <v>71.545775830557616</v>
      </c>
      <c r="Q73" s="219">
        <f t="shared" si="14"/>
        <v>20.190266227059027</v>
      </c>
      <c r="R73" s="219">
        <f t="shared" si="22"/>
        <v>106.22500912564533</v>
      </c>
      <c r="S73" s="220">
        <f t="shared" si="23"/>
        <v>66.590734910442606</v>
      </c>
      <c r="T73" s="221">
        <f t="shared" si="15"/>
        <v>-71.545775830557616</v>
      </c>
      <c r="U73" s="222">
        <f t="shared" si="16"/>
        <v>-20.190266227059027</v>
      </c>
      <c r="V73" s="223">
        <f t="shared" si="17"/>
        <v>-106.22500912564533</v>
      </c>
      <c r="W73" s="223">
        <f t="shared" si="18"/>
        <v>-66.590734910442606</v>
      </c>
      <c r="X73" s="223"/>
      <c r="Y73" s="280"/>
    </row>
    <row r="74" spans="13:25" hidden="1">
      <c r="M74" s="287">
        <f t="shared" si="11"/>
        <v>17.446035423514935</v>
      </c>
      <c r="N74" s="288">
        <f t="shared" si="21"/>
        <v>17.446035423514935</v>
      </c>
      <c r="O74" s="289">
        <f t="shared" si="12"/>
        <v>0.30449075955989896</v>
      </c>
      <c r="P74" s="219">
        <f t="shared" si="13"/>
        <v>71.615374842254468</v>
      </c>
      <c r="Q74" s="219">
        <f t="shared" si="14"/>
        <v>20.120667215362168</v>
      </c>
      <c r="R74" s="219">
        <f t="shared" si="22"/>
        <v>106.32406484814743</v>
      </c>
      <c r="S74" s="220">
        <f t="shared" si="23"/>
        <v>66.491679187940505</v>
      </c>
      <c r="T74" s="221">
        <f t="shared" si="15"/>
        <v>-71.615374842254468</v>
      </c>
      <c r="U74" s="222">
        <f t="shared" si="16"/>
        <v>-20.120667215362168</v>
      </c>
      <c r="V74" s="223">
        <f t="shared" si="17"/>
        <v>-106.32406484814743</v>
      </c>
      <c r="W74" s="223">
        <f t="shared" si="18"/>
        <v>-66.491679187940505</v>
      </c>
      <c r="X74" s="223"/>
      <c r="Y74" s="280"/>
    </row>
    <row r="75" spans="13:25" hidden="1">
      <c r="M75" s="287">
        <f t="shared" si="11"/>
        <v>17.152515656375805</v>
      </c>
      <c r="N75" s="288">
        <f t="shared" si="21"/>
        <v>17.152515656375805</v>
      </c>
      <c r="O75" s="289">
        <f t="shared" si="12"/>
        <v>0.29936787320363412</v>
      </c>
      <c r="P75" s="219">
        <f t="shared" si="13"/>
        <v>71.681272805632318</v>
      </c>
      <c r="Q75" s="219">
        <f t="shared" si="14"/>
        <v>20.054769251984325</v>
      </c>
      <c r="R75" s="219">
        <f t="shared" si="22"/>
        <v>106.41795649419615</v>
      </c>
      <c r="S75" s="220">
        <f t="shared" si="23"/>
        <v>66.397787541891788</v>
      </c>
      <c r="T75" s="221">
        <f t="shared" si="15"/>
        <v>-71.681272805632318</v>
      </c>
      <c r="U75" s="222">
        <f t="shared" si="16"/>
        <v>-20.054769251984325</v>
      </c>
      <c r="V75" s="223">
        <f t="shared" si="17"/>
        <v>-106.41795649419615</v>
      </c>
      <c r="W75" s="223">
        <f t="shared" si="18"/>
        <v>-66.397787541891788</v>
      </c>
      <c r="X75" s="223"/>
      <c r="Y75" s="280"/>
    </row>
    <row r="76" spans="13:25" hidden="1">
      <c r="M76" s="287">
        <f t="shared" si="11"/>
        <v>16.858995889236674</v>
      </c>
      <c r="N76" s="288">
        <f t="shared" si="21"/>
        <v>16.858995889236674</v>
      </c>
      <c r="O76" s="289">
        <f t="shared" si="12"/>
        <v>0.29424498684736922</v>
      </c>
      <c r="P76" s="219">
        <f t="shared" si="13"/>
        <v>71.743516397530556</v>
      </c>
      <c r="Q76" s="219">
        <f t="shared" si="14"/>
        <v>19.992525660086077</v>
      </c>
      <c r="R76" s="219">
        <f t="shared" si="22"/>
        <v>106.50678095957838</v>
      </c>
      <c r="S76" s="220">
        <f t="shared" si="23"/>
        <v>66.308963076509542</v>
      </c>
      <c r="T76" s="221">
        <f t="shared" si="15"/>
        <v>-71.743516397530556</v>
      </c>
      <c r="U76" s="222">
        <f t="shared" si="16"/>
        <v>-19.992525660086077</v>
      </c>
      <c r="V76" s="223">
        <f t="shared" si="17"/>
        <v>-106.50678095957838</v>
      </c>
      <c r="W76" s="223">
        <f t="shared" si="18"/>
        <v>-66.308963076509542</v>
      </c>
      <c r="X76" s="223"/>
      <c r="Y76" s="280"/>
    </row>
    <row r="77" spans="13:25" hidden="1">
      <c r="M77" s="287">
        <f t="shared" si="11"/>
        <v>16.565476122097543</v>
      </c>
      <c r="N77" s="288">
        <f t="shared" si="21"/>
        <v>16.565476122097543</v>
      </c>
      <c r="O77" s="289">
        <f t="shared" si="12"/>
        <v>0.28912210049110432</v>
      </c>
      <c r="P77" s="219">
        <f t="shared" si="13"/>
        <v>71.802149819740748</v>
      </c>
      <c r="Q77" s="219">
        <f t="shared" si="14"/>
        <v>19.933892237875895</v>
      </c>
      <c r="R77" s="219">
        <f t="shared" si="22"/>
        <v>106.59062895045781</v>
      </c>
      <c r="S77" s="220">
        <f t="shared" si="23"/>
        <v>66.225115085630108</v>
      </c>
      <c r="T77" s="221">
        <f t="shared" si="15"/>
        <v>-71.802149819740748</v>
      </c>
      <c r="U77" s="222">
        <f t="shared" si="16"/>
        <v>-19.933892237875895</v>
      </c>
      <c r="V77" s="223">
        <f t="shared" si="17"/>
        <v>-106.59062895045781</v>
      </c>
      <c r="W77" s="223">
        <f t="shared" si="18"/>
        <v>-66.225115085630108</v>
      </c>
      <c r="X77" s="223"/>
      <c r="Y77" s="280"/>
    </row>
    <row r="78" spans="13:25" hidden="1">
      <c r="M78" s="287">
        <f t="shared" si="11"/>
        <v>16.271956354958412</v>
      </c>
      <c r="N78" s="288">
        <f t="shared" si="21"/>
        <v>16.271956354958412</v>
      </c>
      <c r="O78" s="289">
        <f t="shared" si="12"/>
        <v>0.28399921413483942</v>
      </c>
      <c r="P78" s="219">
        <f t="shared" si="13"/>
        <v>71.857214896383468</v>
      </c>
      <c r="Q78" s="219">
        <f t="shared" si="14"/>
        <v>19.878827161233165</v>
      </c>
      <c r="R78" s="219">
        <f t="shared" si="22"/>
        <v>106.66958535181773</v>
      </c>
      <c r="S78" s="220">
        <f t="shared" si="23"/>
        <v>66.146158684270191</v>
      </c>
      <c r="T78" s="221">
        <f t="shared" si="15"/>
        <v>-71.857214896383468</v>
      </c>
      <c r="U78" s="222">
        <f t="shared" si="16"/>
        <v>-19.878827161233165</v>
      </c>
      <c r="V78" s="223">
        <f t="shared" si="17"/>
        <v>-106.66958535181773</v>
      </c>
      <c r="W78" s="223">
        <f t="shared" si="18"/>
        <v>-66.146158684270191</v>
      </c>
      <c r="X78" s="223"/>
      <c r="Y78" s="280"/>
    </row>
    <row r="79" spans="13:25" hidden="1">
      <c r="M79" s="287">
        <f t="shared" si="11"/>
        <v>15.978436587819282</v>
      </c>
      <c r="N79" s="288">
        <f t="shared" si="21"/>
        <v>15.978436587819282</v>
      </c>
      <c r="O79" s="289">
        <f t="shared" si="12"/>
        <v>0.27887632777857452</v>
      </c>
      <c r="P79" s="219">
        <f t="shared" si="13"/>
        <v>71.908751164104871</v>
      </c>
      <c r="Q79" s="219">
        <f t="shared" si="14"/>
        <v>19.827290893511766</v>
      </c>
      <c r="R79" s="219">
        <f t="shared" si="22"/>
        <v>106.74372956111606</v>
      </c>
      <c r="S79" s="220">
        <f t="shared" si="23"/>
        <v>66.072014474971866</v>
      </c>
      <c r="T79" s="221">
        <f t="shared" si="15"/>
        <v>-71.908751164104871</v>
      </c>
      <c r="U79" s="222">
        <f t="shared" si="16"/>
        <v>-19.827290893511766</v>
      </c>
      <c r="V79" s="223">
        <f t="shared" si="17"/>
        <v>-106.74372956111606</v>
      </c>
      <c r="W79" s="223">
        <f t="shared" si="18"/>
        <v>-66.072014474971866</v>
      </c>
      <c r="X79" s="223"/>
      <c r="Y79" s="280"/>
    </row>
    <row r="80" spans="13:25" hidden="1">
      <c r="M80" s="287">
        <f t="shared" si="11"/>
        <v>15.684916820680151</v>
      </c>
      <c r="N80" s="288">
        <f t="shared" si="21"/>
        <v>15.684916820680151</v>
      </c>
      <c r="O80" s="289">
        <f t="shared" si="12"/>
        <v>0.27375344142230967</v>
      </c>
      <c r="P80" s="219">
        <f t="shared" si="13"/>
        <v>71.956795955600171</v>
      </c>
      <c r="Q80" s="219">
        <f t="shared" si="14"/>
        <v>19.779246102016462</v>
      </c>
      <c r="R80" s="219">
        <f t="shared" si="22"/>
        <v>106.81313579068055</v>
      </c>
      <c r="S80" s="220">
        <f t="shared" si="23"/>
        <v>66.002608245407373</v>
      </c>
      <c r="T80" s="221">
        <f t="shared" si="15"/>
        <v>-71.956795955600171</v>
      </c>
      <c r="U80" s="222">
        <f t="shared" si="16"/>
        <v>-19.779246102016462</v>
      </c>
      <c r="V80" s="223">
        <f t="shared" si="17"/>
        <v>-106.81313579068055</v>
      </c>
      <c r="W80" s="223">
        <f t="shared" si="18"/>
        <v>-66.002608245407373</v>
      </c>
      <c r="X80" s="223"/>
      <c r="Y80" s="280"/>
    </row>
    <row r="81" spans="13:25" hidden="1">
      <c r="M81" s="287">
        <f t="shared" si="11"/>
        <v>15.39139705354102</v>
      </c>
      <c r="N81" s="288">
        <f t="shared" si="21"/>
        <v>15.39139705354102</v>
      </c>
      <c r="O81" s="289">
        <f t="shared" si="12"/>
        <v>0.26863055506604477</v>
      </c>
      <c r="P81" s="219">
        <f t="shared" si="13"/>
        <v>72.001384476924741</v>
      </c>
      <c r="Q81" s="219">
        <f t="shared" si="14"/>
        <v>19.734657580691913</v>
      </c>
      <c r="R81" s="219">
        <f t="shared" si="22"/>
        <v>106.87787334192657</v>
      </c>
      <c r="S81" s="220">
        <f t="shared" si="23"/>
        <v>65.937870694161347</v>
      </c>
      <c r="T81" s="221">
        <f t="shared" si="15"/>
        <v>-72.001384476924741</v>
      </c>
      <c r="U81" s="222">
        <f t="shared" si="16"/>
        <v>-19.734657580691913</v>
      </c>
      <c r="V81" s="223">
        <f t="shared" si="17"/>
        <v>-106.87787334192657</v>
      </c>
      <c r="W81" s="223">
        <f t="shared" si="18"/>
        <v>-65.937870694161347</v>
      </c>
      <c r="X81" s="223"/>
      <c r="Y81" s="280"/>
    </row>
    <row r="82" spans="13:25" hidden="1">
      <c r="M82" s="287">
        <f t="shared" si="11"/>
        <v>15.097877286401889</v>
      </c>
      <c r="N82" s="288">
        <f t="shared" si="21"/>
        <v>15.097877286401889</v>
      </c>
      <c r="O82" s="289">
        <f t="shared" si="12"/>
        <v>0.26350766870977987</v>
      </c>
      <c r="P82" s="219">
        <f t="shared" si="13"/>
        <v>72.042549879006643</v>
      </c>
      <c r="Q82" s="219">
        <f t="shared" si="14"/>
        <v>19.693492178609997</v>
      </c>
      <c r="R82" s="219">
        <f t="shared" si="22"/>
        <v>106.93800685409441</v>
      </c>
      <c r="S82" s="220">
        <f t="shared" si="23"/>
        <v>65.877737181993524</v>
      </c>
      <c r="T82" s="221">
        <f t="shared" si="15"/>
        <v>-72.042549879006643</v>
      </c>
      <c r="U82" s="222">
        <f t="shared" si="16"/>
        <v>-19.693492178609997</v>
      </c>
      <c r="V82" s="223">
        <f t="shared" si="17"/>
        <v>-106.93800685409441</v>
      </c>
      <c r="W82" s="223">
        <f t="shared" si="18"/>
        <v>-65.877737181993524</v>
      </c>
      <c r="X82" s="223"/>
      <c r="Y82" s="280"/>
    </row>
    <row r="83" spans="13:25" hidden="1">
      <c r="M83" s="287">
        <f t="shared" si="11"/>
        <v>14.804357519262759</v>
      </c>
      <c r="N83" s="288">
        <f t="shared" si="21"/>
        <v>14.804357519262759</v>
      </c>
      <c r="O83" s="289">
        <f t="shared" si="12"/>
        <v>0.25838478235351497</v>
      </c>
      <c r="P83" s="219">
        <f t="shared" si="13"/>
        <v>72.08032332373665</v>
      </c>
      <c r="Q83" s="219">
        <f t="shared" si="14"/>
        <v>19.655718733879997</v>
      </c>
      <c r="R83" s="219">
        <f t="shared" si="22"/>
        <v>106.9935965298729</v>
      </c>
      <c r="S83" s="220">
        <f t="shared" si="23"/>
        <v>65.822147506215032</v>
      </c>
      <c r="T83" s="221">
        <f t="shared" si="15"/>
        <v>-72.08032332373665</v>
      </c>
      <c r="U83" s="222">
        <f t="shared" si="16"/>
        <v>-19.655718733879997</v>
      </c>
      <c r="V83" s="223">
        <f t="shared" si="17"/>
        <v>-106.9935965298729</v>
      </c>
      <c r="W83" s="223">
        <f t="shared" si="18"/>
        <v>-65.822147506215032</v>
      </c>
      <c r="X83" s="223"/>
      <c r="Y83" s="280"/>
    </row>
    <row r="84" spans="13:25" hidden="1">
      <c r="M84" s="287">
        <f t="shared" si="11"/>
        <v>14.510837752123628</v>
      </c>
      <c r="N84" s="288">
        <f t="shared" si="21"/>
        <v>14.510837752123628</v>
      </c>
      <c r="O84" s="289">
        <f t="shared" si="12"/>
        <v>0.25326189599725007</v>
      </c>
      <c r="P84" s="219">
        <f t="shared" si="13"/>
        <v>72.114734044974242</v>
      </c>
      <c r="Q84" s="219">
        <f t="shared" si="14"/>
        <v>19.621308012642402</v>
      </c>
      <c r="R84" s="219">
        <f t="shared" si="22"/>
        <v>107.04469833998607</v>
      </c>
      <c r="S84" s="220">
        <f t="shared" si="23"/>
        <v>65.771045696101865</v>
      </c>
      <c r="T84" s="221">
        <f t="shared" si="15"/>
        <v>-72.114734044974242</v>
      </c>
      <c r="U84" s="222">
        <f t="shared" si="16"/>
        <v>-19.621308012642402</v>
      </c>
      <c r="V84" s="223">
        <f t="shared" si="17"/>
        <v>-107.04469833998607</v>
      </c>
      <c r="W84" s="223">
        <f t="shared" si="18"/>
        <v>-65.771045696101865</v>
      </c>
      <c r="X84" s="223"/>
      <c r="Y84" s="280"/>
    </row>
    <row r="85" spans="13:25" hidden="1">
      <c r="M85" s="287">
        <f t="shared" si="11"/>
        <v>14.217317984984497</v>
      </c>
      <c r="N85" s="288">
        <f t="shared" si="21"/>
        <v>14.217317984984497</v>
      </c>
      <c r="O85" s="289">
        <f t="shared" si="12"/>
        <v>0.2481390096409852</v>
      </c>
      <c r="P85" s="219">
        <f t="shared" si="13"/>
        <v>72.145809404776372</v>
      </c>
      <c r="Q85" s="219">
        <f t="shared" si="14"/>
        <v>19.590232652840257</v>
      </c>
      <c r="R85" s="219">
        <f t="shared" si="22"/>
        <v>107.09136420856854</v>
      </c>
      <c r="S85" s="220">
        <f t="shared" si="23"/>
        <v>65.724379827519385</v>
      </c>
      <c r="T85" s="221">
        <f t="shared" si="15"/>
        <v>-72.145809404776372</v>
      </c>
      <c r="U85" s="222">
        <f t="shared" si="16"/>
        <v>-19.590232652840257</v>
      </c>
      <c r="V85" s="223">
        <f t="shared" si="17"/>
        <v>-107.09136420856854</v>
      </c>
      <c r="W85" s="223">
        <f t="shared" si="18"/>
        <v>-65.724379827519385</v>
      </c>
      <c r="X85" s="223"/>
      <c r="Y85" s="280"/>
    </row>
    <row r="86" spans="13:25" hidden="1">
      <c r="M86" s="287">
        <f t="shared" si="11"/>
        <v>13.923798217845366</v>
      </c>
      <c r="N86" s="288">
        <f t="shared" si="21"/>
        <v>13.923798217845366</v>
      </c>
      <c r="O86" s="289">
        <f t="shared" si="12"/>
        <v>0.24301612328472033</v>
      </c>
      <c r="P86" s="219">
        <f t="shared" si="13"/>
        <v>72.173574945125537</v>
      </c>
      <c r="Q86" s="219">
        <f t="shared" si="14"/>
        <v>19.562467112491113</v>
      </c>
      <c r="R86" s="219">
        <f t="shared" si="22"/>
        <v>107.13364218093558</v>
      </c>
      <c r="S86" s="220">
        <f t="shared" si="23"/>
        <v>65.682101855152354</v>
      </c>
      <c r="T86" s="221">
        <f t="shared" si="15"/>
        <v>-72.173574945125537</v>
      </c>
      <c r="U86" s="222">
        <f t="shared" si="16"/>
        <v>-19.562467112491113</v>
      </c>
      <c r="V86" s="223">
        <f t="shared" si="17"/>
        <v>-107.13364218093558</v>
      </c>
      <c r="W86" s="223">
        <f t="shared" si="18"/>
        <v>-65.682101855152354</v>
      </c>
      <c r="X86" s="223"/>
      <c r="Y86" s="280"/>
    </row>
    <row r="87" spans="13:25" hidden="1">
      <c r="M87" s="287">
        <f t="shared" si="11"/>
        <v>13.630278450706236</v>
      </c>
      <c r="N87" s="288">
        <f t="shared" si="21"/>
        <v>13.630278450706236</v>
      </c>
      <c r="O87" s="289">
        <f t="shared" si="12"/>
        <v>0.23789323692845543</v>
      </c>
      <c r="P87" s="219">
        <f t="shared" si="13"/>
        <v>72.198054435405979</v>
      </c>
      <c r="Q87" s="219">
        <f t="shared" si="14"/>
        <v>19.537987622210657</v>
      </c>
      <c r="R87" s="219">
        <f t="shared" si="22"/>
        <v>107.17157657515958</v>
      </c>
      <c r="S87" s="220">
        <f t="shared" si="23"/>
        <v>65.644167460928358</v>
      </c>
      <c r="T87" s="221">
        <f t="shared" si="15"/>
        <v>-72.198054435405979</v>
      </c>
      <c r="U87" s="222">
        <f t="shared" si="16"/>
        <v>-19.537987622210657</v>
      </c>
      <c r="V87" s="223">
        <f t="shared" si="17"/>
        <v>-107.17157657515958</v>
      </c>
      <c r="W87" s="223">
        <f t="shared" si="18"/>
        <v>-65.644167460928358</v>
      </c>
      <c r="X87" s="223"/>
      <c r="Y87" s="280"/>
    </row>
    <row r="88" spans="13:25" hidden="1">
      <c r="M88" s="287">
        <f t="shared" si="11"/>
        <v>13.336758683567105</v>
      </c>
      <c r="N88" s="288">
        <f t="shared" si="21"/>
        <v>13.336758683567105</v>
      </c>
      <c r="O88" s="289">
        <f t="shared" si="12"/>
        <v>0.23277035057219053</v>
      </c>
      <c r="P88" s="219">
        <f t="shared" si="13"/>
        <v>72.219269915853928</v>
      </c>
      <c r="Q88" s="219">
        <f t="shared" si="14"/>
        <v>19.516772141762715</v>
      </c>
      <c r="R88" s="219">
        <f t="shared" si="22"/>
        <v>107.20520811869577</v>
      </c>
      <c r="S88" s="220">
        <f t="shared" si="23"/>
        <v>65.61053591739217</v>
      </c>
      <c r="T88" s="221">
        <f t="shared" si="15"/>
        <v>-72.219269915853928</v>
      </c>
      <c r="U88" s="222">
        <f t="shared" si="16"/>
        <v>-19.516772141762715</v>
      </c>
      <c r="V88" s="223">
        <f t="shared" si="17"/>
        <v>-107.20520811869577</v>
      </c>
      <c r="W88" s="223">
        <f t="shared" si="18"/>
        <v>-65.61053591739217</v>
      </c>
      <c r="X88" s="223"/>
      <c r="Y88" s="280"/>
    </row>
    <row r="89" spans="13:25" hidden="1">
      <c r="M89" s="287">
        <f t="shared" si="11"/>
        <v>13.043238916427974</v>
      </c>
      <c r="N89" s="288">
        <f t="shared" si="21"/>
        <v>13.043238916427974</v>
      </c>
      <c r="O89" s="289">
        <f t="shared" si="12"/>
        <v>0.22764746421592566</v>
      </c>
      <c r="P89" s="219">
        <f t="shared" si="13"/>
        <v>72.237241737181861</v>
      </c>
      <c r="Q89" s="219">
        <f t="shared" si="14"/>
        <v>19.498800320434778</v>
      </c>
      <c r="R89" s="219">
        <f t="shared" si="22"/>
        <v>107.23457407114687</v>
      </c>
      <c r="S89" s="220">
        <f t="shared" si="23"/>
        <v>65.581169964941068</v>
      </c>
      <c r="T89" s="221">
        <f t="shared" si="15"/>
        <v>-72.237241737181861</v>
      </c>
      <c r="U89" s="222">
        <f t="shared" si="16"/>
        <v>-19.498800320434778</v>
      </c>
      <c r="V89" s="223">
        <f t="shared" si="17"/>
        <v>-107.23457407114687</v>
      </c>
      <c r="W89" s="223">
        <f t="shared" si="18"/>
        <v>-65.581169964941068</v>
      </c>
      <c r="X89" s="223"/>
      <c r="Y89" s="280"/>
    </row>
    <row r="90" spans="13:25" hidden="1">
      <c r="M90" s="287">
        <f t="shared" si="11"/>
        <v>12.749719149288843</v>
      </c>
      <c r="N90" s="288">
        <f t="shared" si="21"/>
        <v>12.749719149288843</v>
      </c>
      <c r="O90" s="289">
        <f t="shared" si="12"/>
        <v>0.22252457785966076</v>
      </c>
      <c r="P90" s="219">
        <f t="shared" si="13"/>
        <v>72.251988596559343</v>
      </c>
      <c r="Q90" s="219">
        <f t="shared" si="14"/>
        <v>19.48405346105729</v>
      </c>
      <c r="R90" s="219">
        <f t="shared" si="22"/>
        <v>107.2597083341244</v>
      </c>
      <c r="S90" s="220">
        <f t="shared" si="23"/>
        <v>65.556035701963523</v>
      </c>
      <c r="T90" s="221">
        <f t="shared" si="15"/>
        <v>-72.251988596559343</v>
      </c>
      <c r="U90" s="222">
        <f t="shared" si="16"/>
        <v>-19.48405346105729</v>
      </c>
      <c r="V90" s="223">
        <f t="shared" si="17"/>
        <v>-107.2597083341244</v>
      </c>
      <c r="W90" s="223">
        <f t="shared" si="18"/>
        <v>-65.556035701963523</v>
      </c>
      <c r="X90" s="223"/>
      <c r="Y90" s="280"/>
    </row>
    <row r="91" spans="13:25" hidden="1">
      <c r="M91" s="287">
        <f t="shared" si="11"/>
        <v>12.456199382149713</v>
      </c>
      <c r="N91" s="288">
        <f t="shared" si="21"/>
        <v>12.456199382149713</v>
      </c>
      <c r="O91" s="289">
        <f t="shared" si="12"/>
        <v>0.21740169150339589</v>
      </c>
      <c r="P91" s="219">
        <f t="shared" si="13"/>
        <v>72.263527570110185</v>
      </c>
      <c r="Q91" s="219">
        <f t="shared" si="14"/>
        <v>19.472514487506462</v>
      </c>
      <c r="R91" s="219">
        <f t="shared" si="22"/>
        <v>107.28064154904177</v>
      </c>
      <c r="S91" s="220">
        <f t="shared" si="23"/>
        <v>65.53510248704616</v>
      </c>
      <c r="T91" s="221">
        <f t="shared" si="15"/>
        <v>-72.263527570110185</v>
      </c>
      <c r="U91" s="222">
        <f t="shared" si="16"/>
        <v>-19.472514487506462</v>
      </c>
      <c r="V91" s="223">
        <f t="shared" si="17"/>
        <v>-107.28064154904177</v>
      </c>
      <c r="W91" s="223">
        <f t="shared" si="18"/>
        <v>-65.53510248704616</v>
      </c>
      <c r="X91" s="223"/>
      <c r="Y91" s="280"/>
    </row>
    <row r="92" spans="13:25" hidden="1">
      <c r="M92" s="287">
        <f t="shared" si="11"/>
        <v>12.162679615010582</v>
      </c>
      <c r="N92" s="288">
        <f t="shared" si="21"/>
        <v>12.162679615010582</v>
      </c>
      <c r="O92" s="289">
        <f t="shared" si="12"/>
        <v>0.21227880514713099</v>
      </c>
      <c r="P92" s="219">
        <f t="shared" si="13"/>
        <v>72.271874142070075</v>
      </c>
      <c r="Q92" s="219">
        <f t="shared" si="14"/>
        <v>19.464167915546565</v>
      </c>
      <c r="R92" s="219">
        <f t="shared" si="22"/>
        <v>107.29740118356803</v>
      </c>
      <c r="S92" s="220">
        <f t="shared" si="23"/>
        <v>65.518342852519908</v>
      </c>
      <c r="T92" s="221">
        <f t="shared" si="15"/>
        <v>-72.271874142070075</v>
      </c>
      <c r="U92" s="222">
        <f t="shared" si="16"/>
        <v>-19.464167915546565</v>
      </c>
      <c r="V92" s="223">
        <f t="shared" si="17"/>
        <v>-107.29740118356803</v>
      </c>
      <c r="W92" s="223">
        <f t="shared" si="18"/>
        <v>-65.518342852519908</v>
      </c>
      <c r="X92" s="223"/>
      <c r="Y92" s="280"/>
    </row>
    <row r="93" spans="13:25" hidden="1">
      <c r="M93" s="287">
        <f t="shared" si="11"/>
        <v>11.869159847871451</v>
      </c>
      <c r="N93" s="288">
        <f t="shared" si="21"/>
        <v>11.869159847871451</v>
      </c>
      <c r="O93" s="289">
        <f t="shared" si="12"/>
        <v>0.20715591879086609</v>
      </c>
      <c r="P93" s="219">
        <f t="shared" si="13"/>
        <v>72.277042230730785</v>
      </c>
      <c r="Q93" s="219">
        <f t="shared" si="14"/>
        <v>19.458999826885865</v>
      </c>
      <c r="R93" s="219">
        <f t="shared" si="22"/>
        <v>107.31001160737237</v>
      </c>
      <c r="S93" s="220">
        <f t="shared" si="23"/>
        <v>65.505732428715561</v>
      </c>
      <c r="T93" s="221">
        <f t="shared" si="15"/>
        <v>-72.277042230730785</v>
      </c>
      <c r="U93" s="222">
        <f t="shared" si="16"/>
        <v>-19.458999826885865</v>
      </c>
      <c r="V93" s="223">
        <f t="shared" si="17"/>
        <v>-107.31001160737237</v>
      </c>
      <c r="W93" s="223">
        <f t="shared" si="18"/>
        <v>-65.505732428715561</v>
      </c>
      <c r="X93" s="223"/>
      <c r="Y93" s="280"/>
    </row>
    <row r="94" spans="13:25" hidden="1">
      <c r="M94" s="287">
        <f t="shared" si="11"/>
        <v>11.57564008073232</v>
      </c>
      <c r="N94" s="288">
        <f t="shared" si="21"/>
        <v>11.57564008073232</v>
      </c>
      <c r="O94" s="289">
        <f t="shared" si="12"/>
        <v>0.20203303243460122</v>
      </c>
      <c r="P94" s="219">
        <f t="shared" si="13"/>
        <v>72.279044211280862</v>
      </c>
      <c r="Q94" s="219">
        <f t="shared" si="14"/>
        <v>19.456997846335781</v>
      </c>
      <c r="R94" s="219">
        <f t="shared" si="22"/>
        <v>107.3184941577</v>
      </c>
      <c r="S94" s="220">
        <f t="shared" si="23"/>
        <v>65.497249878387919</v>
      </c>
      <c r="T94" s="221">
        <f t="shared" si="15"/>
        <v>-72.279044211280862</v>
      </c>
      <c r="U94" s="222">
        <f t="shared" si="16"/>
        <v>-19.456997846335781</v>
      </c>
      <c r="V94" s="223">
        <f t="shared" si="17"/>
        <v>-107.3184941577</v>
      </c>
      <c r="W94" s="223">
        <f t="shared" si="18"/>
        <v>-65.497249878387919</v>
      </c>
      <c r="X94" s="223"/>
      <c r="Y94" s="280"/>
    </row>
    <row r="95" spans="13:25" hidden="1">
      <c r="M95" s="287">
        <f t="shared" si="11"/>
        <v>11.28212031359319</v>
      </c>
      <c r="N95" s="288">
        <f t="shared" si="21"/>
        <v>11.28212031359319</v>
      </c>
      <c r="O95" s="289">
        <f t="shared" si="12"/>
        <v>0.19691014607833632</v>
      </c>
      <c r="P95" s="219">
        <f t="shared" si="13"/>
        <v>72.277890935639306</v>
      </c>
      <c r="Q95" s="219">
        <f t="shared" si="14"/>
        <v>19.458151121977348</v>
      </c>
      <c r="R95" s="219">
        <f t="shared" si="22"/>
        <v>107.32286719523927</v>
      </c>
      <c r="S95" s="220">
        <f t="shared" si="23"/>
        <v>65.492876840848652</v>
      </c>
      <c r="T95" s="221">
        <f t="shared" si="15"/>
        <v>-72.277890935639306</v>
      </c>
      <c r="U95" s="222">
        <f t="shared" si="16"/>
        <v>-19.458151121977348</v>
      </c>
      <c r="V95" s="223">
        <f t="shared" si="17"/>
        <v>-107.32286719523927</v>
      </c>
      <c r="W95" s="223">
        <f t="shared" si="18"/>
        <v>-65.492876840848652</v>
      </c>
      <c r="X95" s="223"/>
      <c r="Y95" s="280"/>
    </row>
    <row r="96" spans="13:25" hidden="1">
      <c r="M96" s="287">
        <f t="shared" si="11"/>
        <v>10.988600546454059</v>
      </c>
      <c r="N96" s="288">
        <f t="shared" si="21"/>
        <v>10.988600546454059</v>
      </c>
      <c r="O96" s="289">
        <f t="shared" si="12"/>
        <v>0.19178725972207145</v>
      </c>
      <c r="P96" s="219">
        <f t="shared" si="13"/>
        <v>72.273591749362794</v>
      </c>
      <c r="Q96" s="219">
        <f t="shared" si="14"/>
        <v>19.46245030825386</v>
      </c>
      <c r="R96" s="219">
        <f t="shared" si="22"/>
        <v>107.32314615066262</v>
      </c>
      <c r="S96" s="220">
        <f t="shared" si="23"/>
        <v>65.492597885425297</v>
      </c>
      <c r="T96" s="221">
        <f t="shared" si="15"/>
        <v>-72.273591749362794</v>
      </c>
      <c r="U96" s="222">
        <f t="shared" si="16"/>
        <v>-19.46245030825386</v>
      </c>
      <c r="V96" s="223">
        <f t="shared" si="17"/>
        <v>-107.32314615066262</v>
      </c>
      <c r="W96" s="223">
        <f t="shared" si="18"/>
        <v>-65.492597885425297</v>
      </c>
      <c r="X96" s="223"/>
      <c r="Y96" s="280"/>
    </row>
    <row r="97" spans="13:25" hidden="1">
      <c r="M97" s="287">
        <f t="shared" ref="M97:M112" si="24">IF(N97&gt;maxn,maxn,IF(N97&lt;mins,mins,N97))</f>
        <v>10.695080779314928</v>
      </c>
      <c r="N97" s="288">
        <f t="shared" si="21"/>
        <v>10.695080779314928</v>
      </c>
      <c r="O97" s="289">
        <f t="shared" ref="O97:O112" si="25">RADIANS(M97)</f>
        <v>0.18666437336580655</v>
      </c>
      <c r="P97" s="219">
        <f t="shared" ref="P97:P112" si="26">IFERROR(DEGREES(grt+ACOS((SIN(h)-SIN(d)*SIN(O97))/COS(d)/COS(O97))),#N/A)</f>
        <v>72.266154505694757</v>
      </c>
      <c r="Q97" s="219">
        <f t="shared" ref="Q97:Q112" si="27">IFERROR(DEGREES(grt-ACOS((SIN(h)-SIN(d)*SIN(O97))/COS(d)/COS(O97))),#N/A)</f>
        <v>19.469887551921886</v>
      </c>
      <c r="R97" s="219">
        <f t="shared" si="22"/>
        <v>107.31934356215464</v>
      </c>
      <c r="S97" s="220">
        <f t="shared" si="23"/>
        <v>65.496400473933278</v>
      </c>
      <c r="T97" s="221">
        <f t="shared" ref="T97:T112" si="28">IF(P97&lt;0,ABS(P97),IF(P97&gt;360,-(P97-360),IF(AND(P97&gt;180,P97&lt;360),ABS(360-P97),-P97)))</f>
        <v>-72.266154505694757</v>
      </c>
      <c r="U97" s="222">
        <f t="shared" ref="U97:U112" si="29">IF(Q97&lt;0,ABS(Q97),IF(Q97&gt;360,Q97-(Q97-360),IF(AND(Q97&gt;180,Q97&lt;360),ABS(360-Q97),-Q97)))</f>
        <v>-19.469887551921886</v>
      </c>
      <c r="V97" s="223">
        <f t="shared" ref="V97:V112" si="30">IF(R97&lt;0,ABS(R97),IF(R97&gt;360,-(R97-360),IF(AND(R97&gt;180,R97&lt;360),ABS(360-R97),-R97)))</f>
        <v>-107.31934356215464</v>
      </c>
      <c r="W97" s="223">
        <f t="shared" ref="W97:W112" si="31">IF(S97&lt;0,ABS(S97),IF(S97&gt;360,-(S97-360),IF(AND(S97&gt;180,S97&lt;360),ABS(360-S97),-S97)))</f>
        <v>-65.496400473933278</v>
      </c>
      <c r="X97" s="223"/>
      <c r="Y97" s="280"/>
    </row>
    <row r="98" spans="13:25" hidden="1">
      <c r="M98" s="287">
        <f t="shared" si="24"/>
        <v>10.401561012175797</v>
      </c>
      <c r="N98" s="288">
        <f t="shared" si="21"/>
        <v>10.401561012175797</v>
      </c>
      <c r="O98" s="289">
        <f t="shared" si="25"/>
        <v>0.18154148700954165</v>
      </c>
      <c r="P98" s="219">
        <f t="shared" si="26"/>
        <v>72.255585576810958</v>
      </c>
      <c r="Q98" s="219">
        <f t="shared" si="27"/>
        <v>19.480456480805685</v>
      </c>
      <c r="R98" s="219">
        <f t="shared" si="22"/>
        <v>107.31146910417247</v>
      </c>
      <c r="S98" s="220">
        <f t="shared" si="23"/>
        <v>65.504274931915447</v>
      </c>
      <c r="T98" s="221">
        <f t="shared" si="28"/>
        <v>-72.255585576810958</v>
      </c>
      <c r="U98" s="222">
        <f t="shared" si="29"/>
        <v>-19.480456480805685</v>
      </c>
      <c r="V98" s="223">
        <f t="shared" si="30"/>
        <v>-107.31146910417247</v>
      </c>
      <c r="W98" s="223">
        <f t="shared" si="31"/>
        <v>-65.504274931915447</v>
      </c>
      <c r="X98" s="223"/>
      <c r="Y98" s="280"/>
    </row>
    <row r="99" spans="13:25" hidden="1">
      <c r="M99" s="287">
        <f t="shared" si="24"/>
        <v>10.108041245036667</v>
      </c>
      <c r="N99" s="288">
        <f t="shared" si="21"/>
        <v>10.108041245036667</v>
      </c>
      <c r="O99" s="289">
        <f t="shared" si="25"/>
        <v>0.17641860065327677</v>
      </c>
      <c r="P99" s="219">
        <f t="shared" si="26"/>
        <v>72.241889862303708</v>
      </c>
      <c r="Q99" s="219">
        <f t="shared" si="27"/>
        <v>19.494152195312921</v>
      </c>
      <c r="R99" s="219">
        <f t="shared" si="22"/>
        <v>107.29952960762058</v>
      </c>
      <c r="S99" s="220">
        <f t="shared" si="23"/>
        <v>65.516214428467336</v>
      </c>
      <c r="T99" s="221">
        <f t="shared" si="28"/>
        <v>-72.241889862303708</v>
      </c>
      <c r="U99" s="222">
        <f t="shared" si="29"/>
        <v>-19.494152195312921</v>
      </c>
      <c r="V99" s="223">
        <f t="shared" si="30"/>
        <v>-107.29952960762058</v>
      </c>
      <c r="W99" s="223">
        <f t="shared" si="31"/>
        <v>-65.516214428467336</v>
      </c>
      <c r="X99" s="223"/>
      <c r="Y99" s="280"/>
    </row>
    <row r="100" spans="13:25" hidden="1">
      <c r="M100" s="287">
        <f t="shared" si="24"/>
        <v>9.8145214778975358</v>
      </c>
      <c r="N100" s="288">
        <f t="shared" si="21"/>
        <v>9.8145214778975358</v>
      </c>
      <c r="O100" s="289">
        <f t="shared" si="25"/>
        <v>0.17129571429701188</v>
      </c>
      <c r="P100" s="219">
        <f t="shared" si="26"/>
        <v>72.225070794935121</v>
      </c>
      <c r="Q100" s="219">
        <f t="shared" si="27"/>
        <v>19.510971262681515</v>
      </c>
      <c r="R100" s="219">
        <f t="shared" si="22"/>
        <v>107.28352907156045</v>
      </c>
      <c r="S100" s="220">
        <f t="shared" si="23"/>
        <v>65.532214964527483</v>
      </c>
      <c r="T100" s="221">
        <f t="shared" si="28"/>
        <v>-72.225070794935121</v>
      </c>
      <c r="U100" s="222">
        <f t="shared" si="29"/>
        <v>-19.510971262681515</v>
      </c>
      <c r="V100" s="223">
        <f t="shared" si="30"/>
        <v>-107.28352907156045</v>
      </c>
      <c r="W100" s="223">
        <f t="shared" si="31"/>
        <v>-65.532214964527483</v>
      </c>
      <c r="X100" s="223"/>
      <c r="Y100" s="280"/>
    </row>
    <row r="101" spans="13:25" hidden="1">
      <c r="M101" s="287">
        <f t="shared" si="24"/>
        <v>9.5210017107584051</v>
      </c>
      <c r="N101" s="288">
        <f t="shared" si="21"/>
        <v>9.5210017107584051</v>
      </c>
      <c r="O101" s="289">
        <f t="shared" si="25"/>
        <v>0.166172827940747</v>
      </c>
      <c r="P101" s="219">
        <f t="shared" si="26"/>
        <v>72.205130343676885</v>
      </c>
      <c r="Q101" s="219">
        <f t="shared" si="27"/>
        <v>19.530911713939759</v>
      </c>
      <c r="R101" s="219">
        <f t="shared" si="22"/>
        <v>107.26346866651561</v>
      </c>
      <c r="S101" s="220">
        <f t="shared" si="23"/>
        <v>65.552275369572314</v>
      </c>
      <c r="T101" s="221">
        <f t="shared" si="28"/>
        <v>-72.205130343676885</v>
      </c>
      <c r="U101" s="222">
        <f t="shared" si="29"/>
        <v>-19.530911713939759</v>
      </c>
      <c r="V101" s="223">
        <f t="shared" si="30"/>
        <v>-107.26346866651561</v>
      </c>
      <c r="W101" s="223">
        <f t="shared" si="31"/>
        <v>-65.552275369572314</v>
      </c>
      <c r="X101" s="223"/>
      <c r="Y101" s="280"/>
    </row>
    <row r="102" spans="13:25" hidden="1">
      <c r="M102" s="287">
        <f t="shared" si="24"/>
        <v>9.2274819436192743</v>
      </c>
      <c r="N102" s="288">
        <f t="shared" si="21"/>
        <v>9.2274819436192743</v>
      </c>
      <c r="O102" s="289">
        <f t="shared" si="25"/>
        <v>0.1610499415844821</v>
      </c>
      <c r="P102" s="219">
        <f t="shared" si="26"/>
        <v>72.182069014042767</v>
      </c>
      <c r="Q102" s="219">
        <f t="shared" si="27"/>
        <v>19.553973043573887</v>
      </c>
      <c r="R102" s="219">
        <f t="shared" si="22"/>
        <v>107.23934672937258</v>
      </c>
      <c r="S102" s="220">
        <f t="shared" si="23"/>
        <v>65.57639730671535</v>
      </c>
      <c r="T102" s="221">
        <f t="shared" si="28"/>
        <v>-72.182069014042767</v>
      </c>
      <c r="U102" s="222">
        <f t="shared" si="29"/>
        <v>-19.553973043573887</v>
      </c>
      <c r="V102" s="223">
        <f t="shared" si="30"/>
        <v>-107.23934672937258</v>
      </c>
      <c r="W102" s="223">
        <f t="shared" si="31"/>
        <v>-65.57639730671535</v>
      </c>
      <c r="X102" s="223"/>
      <c r="Y102" s="280"/>
    </row>
    <row r="103" spans="13:25" hidden="1">
      <c r="M103" s="287">
        <f t="shared" si="24"/>
        <v>8.9339621764801436</v>
      </c>
      <c r="N103" s="288">
        <f t="shared" si="21"/>
        <v>8.9339621764801436</v>
      </c>
      <c r="O103" s="289">
        <f t="shared" si="25"/>
        <v>0.1559270552282172</v>
      </c>
      <c r="P103" s="219">
        <f t="shared" si="26"/>
        <v>72.155885845707914</v>
      </c>
      <c r="Q103" s="219">
        <f t="shared" si="27"/>
        <v>19.580156211908722</v>
      </c>
      <c r="R103" s="219">
        <f t="shared" si="22"/>
        <v>107.2111587498197</v>
      </c>
      <c r="S103" s="220">
        <f t="shared" si="23"/>
        <v>65.604585286268218</v>
      </c>
      <c r="T103" s="221">
        <f t="shared" si="28"/>
        <v>-72.155885845707914</v>
      </c>
      <c r="U103" s="222">
        <f t="shared" si="29"/>
        <v>-19.580156211908722</v>
      </c>
      <c r="V103" s="223">
        <f t="shared" si="30"/>
        <v>-107.2111587498197</v>
      </c>
      <c r="W103" s="223">
        <f t="shared" si="31"/>
        <v>-65.604585286268218</v>
      </c>
      <c r="X103" s="223"/>
      <c r="Y103" s="280"/>
    </row>
    <row r="104" spans="13:25" hidden="1">
      <c r="M104" s="287">
        <f t="shared" si="24"/>
        <v>8.6404424093410128</v>
      </c>
      <c r="N104" s="288">
        <f t="shared" si="21"/>
        <v>8.6404424093410128</v>
      </c>
      <c r="O104" s="289">
        <f t="shared" si="25"/>
        <v>0.15080416887195233</v>
      </c>
      <c r="P104" s="219">
        <f t="shared" si="26"/>
        <v>72.126578407397176</v>
      </c>
      <c r="Q104" s="219">
        <f t="shared" si="27"/>
        <v>19.609463650219467</v>
      </c>
      <c r="R104" s="219">
        <f t="shared" ref="R104:R135" si="32">IFERROR(DEGREES(grt_+ACOS((SIN(h_)-SIN(d_)*SIN(O104))/COS(d_)/COS(O104))),#N/A)</f>
        <v>107.17889734820429</v>
      </c>
      <c r="S104" s="220">
        <f t="shared" ref="S104:S135" si="33">IFERROR(DEGREES(grt_-ACOS((SIN(h_)-SIN(d_)*SIN(O104))/COS(d_)/COS(O104))),#N/A)</f>
        <v>65.636846687883633</v>
      </c>
      <c r="T104" s="221">
        <f t="shared" si="28"/>
        <v>-72.126578407397176</v>
      </c>
      <c r="U104" s="222">
        <f t="shared" si="29"/>
        <v>-19.609463650219467</v>
      </c>
      <c r="V104" s="223">
        <f t="shared" si="30"/>
        <v>-107.17889734820429</v>
      </c>
      <c r="W104" s="223">
        <f t="shared" si="31"/>
        <v>-65.636846687883633</v>
      </c>
      <c r="X104" s="223"/>
      <c r="Y104" s="280"/>
    </row>
    <row r="105" spans="13:25" hidden="1">
      <c r="M105" s="287">
        <f t="shared" si="24"/>
        <v>8.3469226422018821</v>
      </c>
      <c r="N105" s="288">
        <f t="shared" si="21"/>
        <v>8.3469226422018821</v>
      </c>
      <c r="O105" s="289">
        <f t="shared" si="25"/>
        <v>0.14568128251568743</v>
      </c>
      <c r="P105" s="219">
        <f t="shared" si="26"/>
        <v>72.094142789011869</v>
      </c>
      <c r="Q105" s="219">
        <f t="shared" si="27"/>
        <v>19.641899268604785</v>
      </c>
      <c r="R105" s="219">
        <f t="shared" si="32"/>
        <v>107.14255224462732</v>
      </c>
      <c r="S105" s="220">
        <f t="shared" si="33"/>
        <v>65.673191791460596</v>
      </c>
      <c r="T105" s="221">
        <f t="shared" si="28"/>
        <v>-72.094142789011869</v>
      </c>
      <c r="U105" s="222">
        <f t="shared" si="29"/>
        <v>-19.641899268604785</v>
      </c>
      <c r="V105" s="223">
        <f t="shared" si="30"/>
        <v>-107.14255224462732</v>
      </c>
      <c r="W105" s="223">
        <f t="shared" si="31"/>
        <v>-65.673191791460596</v>
      </c>
      <c r="X105" s="223"/>
      <c r="Y105" s="280"/>
    </row>
    <row r="106" spans="13:25" hidden="1">
      <c r="M106" s="287">
        <f t="shared" si="24"/>
        <v>8.0534028750627513</v>
      </c>
      <c r="N106" s="288">
        <f t="shared" si="21"/>
        <v>8.0534028750627513</v>
      </c>
      <c r="O106" s="289">
        <f t="shared" si="25"/>
        <v>0.14055839615942256</v>
      </c>
      <c r="P106" s="219">
        <f t="shared" si="26"/>
        <v>72.058573590953188</v>
      </c>
      <c r="Q106" s="219">
        <f t="shared" si="27"/>
        <v>19.677468466663441</v>
      </c>
      <c r="R106" s="219">
        <f t="shared" si="32"/>
        <v>107.10211021903037</v>
      </c>
      <c r="S106" s="220">
        <f t="shared" si="33"/>
        <v>65.71363381705757</v>
      </c>
      <c r="T106" s="221">
        <f t="shared" si="28"/>
        <v>-72.058573590953188</v>
      </c>
      <c r="U106" s="222">
        <f t="shared" si="29"/>
        <v>-19.677468466663441</v>
      </c>
      <c r="V106" s="223">
        <f t="shared" si="30"/>
        <v>-107.10211021903037</v>
      </c>
      <c r="W106" s="223">
        <f t="shared" si="31"/>
        <v>-65.71363381705757</v>
      </c>
      <c r="X106" s="223"/>
      <c r="Y106" s="280"/>
    </row>
    <row r="107" spans="13:25" hidden="1">
      <c r="M107" s="287">
        <f t="shared" si="24"/>
        <v>7.7598831079236197</v>
      </c>
      <c r="N107" s="288">
        <f t="shared" si="21"/>
        <v>7.7598831079236197</v>
      </c>
      <c r="O107" s="289">
        <f t="shared" si="25"/>
        <v>0.13543550980315763</v>
      </c>
      <c r="P107" s="219">
        <f t="shared" si="26"/>
        <v>72.019863910586693</v>
      </c>
      <c r="Q107" s="219">
        <f t="shared" si="27"/>
        <v>19.716178147029961</v>
      </c>
      <c r="R107" s="219">
        <f t="shared" si="32"/>
        <v>107.05755506196029</v>
      </c>
      <c r="S107" s="220">
        <f t="shared" si="33"/>
        <v>65.758188974127634</v>
      </c>
      <c r="T107" s="221">
        <f t="shared" si="28"/>
        <v>-72.019863910586693</v>
      </c>
      <c r="U107" s="222">
        <f t="shared" si="29"/>
        <v>-19.716178147029961</v>
      </c>
      <c r="V107" s="223">
        <f t="shared" si="30"/>
        <v>-107.05755506196029</v>
      </c>
      <c r="W107" s="223">
        <f t="shared" si="31"/>
        <v>-65.758188974127634</v>
      </c>
      <c r="X107" s="223"/>
      <c r="Y107" s="280"/>
    </row>
    <row r="108" spans="13:25" hidden="1">
      <c r="M108" s="287">
        <f t="shared" si="24"/>
        <v>7.466363340784488</v>
      </c>
      <c r="N108" s="288">
        <f t="shared" si="21"/>
        <v>7.466363340784488</v>
      </c>
      <c r="O108" s="289">
        <f t="shared" si="25"/>
        <v>0.13031262344689273</v>
      </c>
      <c r="P108" s="219">
        <f t="shared" si="26"/>
        <v>71.978005325778767</v>
      </c>
      <c r="Q108" s="219">
        <f t="shared" si="27"/>
        <v>19.758036731837876</v>
      </c>
      <c r="R108" s="219">
        <f t="shared" si="32"/>
        <v>107.00886751562754</v>
      </c>
      <c r="S108" s="220">
        <f t="shared" si="33"/>
        <v>65.806876520460392</v>
      </c>
      <c r="T108" s="221">
        <f t="shared" si="28"/>
        <v>-71.978005325778767</v>
      </c>
      <c r="U108" s="222">
        <f t="shared" si="29"/>
        <v>-19.758036731837876</v>
      </c>
      <c r="V108" s="223">
        <f t="shared" si="30"/>
        <v>-107.00886751562754</v>
      </c>
      <c r="W108" s="223">
        <f t="shared" si="31"/>
        <v>-65.806876520460392</v>
      </c>
      <c r="X108" s="223"/>
      <c r="Y108" s="280"/>
    </row>
    <row r="109" spans="13:25" hidden="1">
      <c r="M109" s="287">
        <f t="shared" si="24"/>
        <v>7.1728435736453564</v>
      </c>
      <c r="N109" s="288">
        <f t="shared" si="21"/>
        <v>7.1728435736453564</v>
      </c>
      <c r="O109" s="289">
        <f t="shared" si="25"/>
        <v>0.12518973709062783</v>
      </c>
      <c r="P109" s="219">
        <f t="shared" si="26"/>
        <v>71.932987875423819</v>
      </c>
      <c r="Q109" s="219">
        <f t="shared" si="27"/>
        <v>19.803054182192831</v>
      </c>
      <c r="R109" s="219">
        <f t="shared" si="32"/>
        <v>106.95602520479332</v>
      </c>
      <c r="S109" s="220">
        <f t="shared" si="33"/>
        <v>65.859718831294614</v>
      </c>
      <c r="T109" s="221">
        <f t="shared" si="28"/>
        <v>-71.932987875423819</v>
      </c>
      <c r="U109" s="222">
        <f t="shared" si="29"/>
        <v>-19.803054182192831</v>
      </c>
      <c r="V109" s="223">
        <f t="shared" si="30"/>
        <v>-106.95602520479332</v>
      </c>
      <c r="W109" s="223">
        <f t="shared" si="31"/>
        <v>-65.859718831294614</v>
      </c>
      <c r="X109" s="223"/>
      <c r="Y109" s="280"/>
    </row>
    <row r="110" spans="13:25" hidden="1">
      <c r="M110" s="287">
        <f t="shared" si="24"/>
        <v>6.8793238065062248</v>
      </c>
      <c r="N110" s="288">
        <f t="shared" si="21"/>
        <v>6.8793238065062248</v>
      </c>
      <c r="O110" s="289">
        <f t="shared" si="25"/>
        <v>0.12006685073436293</v>
      </c>
      <c r="P110" s="219">
        <f t="shared" si="26"/>
        <v>71.88480003686378</v>
      </c>
      <c r="Q110" s="219">
        <f t="shared" si="27"/>
        <v>19.851242020752856</v>
      </c>
      <c r="R110" s="219">
        <f t="shared" si="32"/>
        <v>106.89900255693966</v>
      </c>
      <c r="S110" s="220">
        <f t="shared" si="33"/>
        <v>65.916741479148257</v>
      </c>
      <c r="T110" s="221">
        <f t="shared" si="28"/>
        <v>-71.88480003686378</v>
      </c>
      <c r="U110" s="222">
        <f t="shared" si="29"/>
        <v>-19.851242020752856</v>
      </c>
      <c r="V110" s="223">
        <f t="shared" si="30"/>
        <v>-106.89900255693966</v>
      </c>
      <c r="W110" s="223">
        <f t="shared" si="31"/>
        <v>-65.916741479148257</v>
      </c>
      <c r="X110" s="223"/>
      <c r="Y110" s="280"/>
    </row>
    <row r="111" spans="13:25" hidden="1">
      <c r="M111" s="287">
        <f t="shared" si="24"/>
        <v>6.5858040393670931</v>
      </c>
      <c r="N111" s="288">
        <f t="shared" si="21"/>
        <v>6.5858040393670931</v>
      </c>
      <c r="O111" s="289">
        <f t="shared" si="25"/>
        <v>0.11494396437809802</v>
      </c>
      <c r="P111" s="219">
        <f t="shared" si="26"/>
        <v>71.833428700088888</v>
      </c>
      <c r="Q111" s="219">
        <f t="shared" si="27"/>
        <v>19.902613357527745</v>
      </c>
      <c r="R111" s="219">
        <f t="shared" si="32"/>
        <v>106.83777071108277</v>
      </c>
      <c r="S111" s="220">
        <f t="shared" si="33"/>
        <v>65.977973325005152</v>
      </c>
      <c r="T111" s="221">
        <f t="shared" si="28"/>
        <v>-71.833428700088888</v>
      </c>
      <c r="U111" s="222">
        <f t="shared" si="29"/>
        <v>-19.902613357527745</v>
      </c>
      <c r="V111" s="223">
        <f t="shared" si="30"/>
        <v>-106.83777071108277</v>
      </c>
      <c r="W111" s="223">
        <f t="shared" si="31"/>
        <v>-65.977973325005152</v>
      </c>
      <c r="X111" s="223"/>
      <c r="Y111" s="280"/>
    </row>
    <row r="112" spans="13:25" hidden="1">
      <c r="M112" s="287">
        <f t="shared" si="24"/>
        <v>6.2922842722279615</v>
      </c>
      <c r="N112" s="288">
        <f t="shared" si="21"/>
        <v>6.2922842722279615</v>
      </c>
      <c r="O112" s="289">
        <f t="shared" si="25"/>
        <v>0.10982107802183312</v>
      </c>
      <c r="P112" s="219">
        <f t="shared" si="26"/>
        <v>71.778859138589468</v>
      </c>
      <c r="Q112" s="219">
        <f t="shared" si="27"/>
        <v>19.957182919027179</v>
      </c>
      <c r="R112" s="219">
        <f t="shared" si="32"/>
        <v>106.77229741448994</v>
      </c>
      <c r="S112" s="220">
        <f t="shared" si="33"/>
        <v>66.04344662159798</v>
      </c>
      <c r="T112" s="221">
        <f t="shared" si="28"/>
        <v>-71.778859138589468</v>
      </c>
      <c r="U112" s="222">
        <f t="shared" si="29"/>
        <v>-19.957182919027179</v>
      </c>
      <c r="V112" s="223">
        <f t="shared" si="30"/>
        <v>-106.77229741448994</v>
      </c>
      <c r="W112" s="223">
        <f t="shared" si="31"/>
        <v>-66.04344662159798</v>
      </c>
      <c r="X112" s="223"/>
      <c r="Y112" s="280"/>
    </row>
    <row r="113" spans="13:25" hidden="1">
      <c r="M113" s="287">
        <f t="shared" ref="M113:M176" si="34">IF(N113&gt;maxn,maxn,IF(N113&lt;mins,mins,N113))</f>
        <v>5.9987645050888299</v>
      </c>
      <c r="N113" s="288">
        <f t="shared" si="21"/>
        <v>5.9987645050888299</v>
      </c>
      <c r="O113" s="289">
        <f t="shared" ref="O113:O176" si="35">RADIANS(M113)</f>
        <v>0.10469819166556822</v>
      </c>
      <c r="P113" s="219">
        <f t="shared" ref="P113:P176" si="36">IFERROR(DEGREES(grt+ACOS((SIN(h)-SIN(d)*SIN(O113))/COS(d)/COS(O113))),#N/A)</f>
        <v>71.721074976713368</v>
      </c>
      <c r="Q113" s="219">
        <f t="shared" ref="Q113:Q176" si="37">IFERROR(DEGREES(grt-ACOS((SIN(h)-SIN(d)*SIN(O113))/COS(d)/COS(O113))),#N/A)</f>
        <v>20.014967080903265</v>
      </c>
      <c r="R113" s="219">
        <f t="shared" si="32"/>
        <v>106.70254690644811</v>
      </c>
      <c r="S113" s="220">
        <f t="shared" si="33"/>
        <v>66.113197129639815</v>
      </c>
      <c r="T113" s="221">
        <f t="shared" ref="T113:T176" si="38">IF(P113&lt;0,ABS(P113),IF(P113&gt;360,-(P113-360),IF(AND(P113&gt;180,P113&lt;360),ABS(360-P113),-P113)))</f>
        <v>-71.721074976713368</v>
      </c>
      <c r="U113" s="222">
        <f t="shared" ref="U113:U176" si="39">IF(Q113&lt;0,ABS(Q113),IF(Q113&gt;360,Q113-(Q113-360),IF(AND(Q113&gt;180,Q113&lt;360),ABS(360-Q113),-Q113)))</f>
        <v>-20.014967080903265</v>
      </c>
      <c r="V113" s="223">
        <f t="shared" ref="V113:V176" si="40">IF(R113&lt;0,ABS(R113),IF(R113&gt;360,-(R113-360),IF(AND(R113&gt;180,R113&lt;360),ABS(360-R113),-R113)))</f>
        <v>-106.70254690644811</v>
      </c>
      <c r="W113" s="223">
        <f t="shared" ref="W113:W176" si="41">IF(S113&lt;0,ABS(S113),IF(S113&gt;360,-(S113-360),IF(AND(S113&gt;180,S113&lt;360),ABS(360-S113),-S113)))</f>
        <v>-66.113197129639815</v>
      </c>
      <c r="X113" s="223"/>
      <c r="Y113" s="280"/>
    </row>
    <row r="114" spans="13:25" hidden="1">
      <c r="M114" s="287">
        <f t="shared" si="34"/>
        <v>5.7052447379496982</v>
      </c>
      <c r="N114" s="288">
        <f t="shared" si="21"/>
        <v>5.7052447379496982</v>
      </c>
      <c r="O114" s="289">
        <f t="shared" si="35"/>
        <v>9.9575305309303308E-2</v>
      </c>
      <c r="P114" s="219">
        <f t="shared" si="36"/>
        <v>71.660058153363494</v>
      </c>
      <c r="Q114" s="219">
        <f t="shared" si="37"/>
        <v>20.075983904253142</v>
      </c>
      <c r="R114" s="219">
        <f t="shared" si="32"/>
        <v>106.62847978810727</v>
      </c>
      <c r="S114" s="220">
        <f t="shared" si="33"/>
        <v>66.18726424798065</v>
      </c>
      <c r="T114" s="221">
        <f t="shared" si="38"/>
        <v>-71.660058153363494</v>
      </c>
      <c r="U114" s="222">
        <f t="shared" si="39"/>
        <v>-20.075983904253142</v>
      </c>
      <c r="V114" s="223">
        <f t="shared" si="40"/>
        <v>-106.62847978810727</v>
      </c>
      <c r="W114" s="223">
        <f t="shared" si="41"/>
        <v>-66.18726424798065</v>
      </c>
      <c r="X114" s="223"/>
      <c r="Y114" s="280"/>
    </row>
    <row r="115" spans="13:25" hidden="1">
      <c r="M115" s="287">
        <f t="shared" si="34"/>
        <v>5.4117249708105666</v>
      </c>
      <c r="N115" s="288">
        <f t="shared" si="21"/>
        <v>5.4117249708105666</v>
      </c>
      <c r="O115" s="289">
        <f t="shared" si="35"/>
        <v>9.4452418953038408E-2</v>
      </c>
      <c r="P115" s="219">
        <f t="shared" si="36"/>
        <v>71.595788881849018</v>
      </c>
      <c r="Q115" s="219">
        <f t="shared" si="37"/>
        <v>20.140253175767626</v>
      </c>
      <c r="R115" s="219">
        <f t="shared" si="32"/>
        <v>106.55005287728224</v>
      </c>
      <c r="S115" s="220">
        <f t="shared" si="33"/>
        <v>66.265691158805694</v>
      </c>
      <c r="T115" s="221">
        <f t="shared" si="38"/>
        <v>-71.595788881849018</v>
      </c>
      <c r="U115" s="222">
        <f t="shared" si="39"/>
        <v>-20.140253175767626</v>
      </c>
      <c r="V115" s="223">
        <f t="shared" si="40"/>
        <v>-106.55005287728224</v>
      </c>
      <c r="W115" s="223">
        <f t="shared" si="41"/>
        <v>-66.265691158805694</v>
      </c>
      <c r="X115" s="223"/>
      <c r="Y115" s="280"/>
    </row>
    <row r="116" spans="13:25" hidden="1">
      <c r="M116" s="287">
        <f t="shared" si="34"/>
        <v>5.1182052036714349</v>
      </c>
      <c r="N116" s="288">
        <f t="shared" si="21"/>
        <v>5.1182052036714349</v>
      </c>
      <c r="O116" s="289">
        <f t="shared" si="35"/>
        <v>8.9329532596773509E-2</v>
      </c>
      <c r="P116" s="219">
        <f t="shared" si="36"/>
        <v>71.528245605683466</v>
      </c>
      <c r="Q116" s="219">
        <f t="shared" si="37"/>
        <v>20.207796451933167</v>
      </c>
      <c r="R116" s="219">
        <f t="shared" si="32"/>
        <v>106.46721904693774</v>
      </c>
      <c r="S116" s="220">
        <f t="shared" si="33"/>
        <v>66.348524989150192</v>
      </c>
      <c r="T116" s="221">
        <f t="shared" si="38"/>
        <v>-71.528245605683466</v>
      </c>
      <c r="U116" s="222">
        <f t="shared" si="39"/>
        <v>-20.207796451933167</v>
      </c>
      <c r="V116" s="223">
        <f t="shared" si="40"/>
        <v>-106.46721904693774</v>
      </c>
      <c r="W116" s="223">
        <f t="shared" si="41"/>
        <v>-66.348524989150192</v>
      </c>
      <c r="X116" s="223"/>
      <c r="Y116" s="280"/>
    </row>
    <row r="117" spans="13:25" hidden="1">
      <c r="M117" s="287">
        <f t="shared" si="34"/>
        <v>4.8246854365323033</v>
      </c>
      <c r="N117" s="288">
        <f t="shared" si="21"/>
        <v>4.8246854365323033</v>
      </c>
      <c r="O117" s="289">
        <f t="shared" si="35"/>
        <v>8.4206646240508609E-2</v>
      </c>
      <c r="P117" s="219">
        <f t="shared" si="36"/>
        <v>71.457404950096972</v>
      </c>
      <c r="Q117" s="219">
        <f t="shared" si="37"/>
        <v>20.278637107519664</v>
      </c>
      <c r="R117" s="219">
        <f t="shared" si="32"/>
        <v>106.37992704590457</v>
      </c>
      <c r="S117" s="220">
        <f t="shared" si="33"/>
        <v>66.435816990183355</v>
      </c>
      <c r="T117" s="221">
        <f t="shared" si="38"/>
        <v>-71.457404950096972</v>
      </c>
      <c r="U117" s="222">
        <f t="shared" si="39"/>
        <v>-20.278637107519664</v>
      </c>
      <c r="V117" s="223">
        <f t="shared" si="40"/>
        <v>-106.37992704590457</v>
      </c>
      <c r="W117" s="223">
        <f t="shared" si="41"/>
        <v>-66.435816990183355</v>
      </c>
      <c r="X117" s="223"/>
      <c r="Y117" s="280"/>
    </row>
    <row r="118" spans="13:25" hidden="1">
      <c r="M118" s="287">
        <f t="shared" si="34"/>
        <v>4.5311656693931717</v>
      </c>
      <c r="N118" s="288">
        <f t="shared" si="21"/>
        <v>4.5311656693931717</v>
      </c>
      <c r="O118" s="289">
        <f t="shared" si="35"/>
        <v>7.9083759884243696E-2</v>
      </c>
      <c r="P118" s="219">
        <f t="shared" si="36"/>
        <v>71.383241669004818</v>
      </c>
      <c r="Q118" s="219">
        <f t="shared" si="37"/>
        <v>20.352800388611815</v>
      </c>
      <c r="R118" s="219">
        <f t="shared" si="32"/>
        <v>106.28812130016979</v>
      </c>
      <c r="S118" s="220">
        <f t="shared" si="33"/>
        <v>66.527622735918143</v>
      </c>
      <c r="T118" s="221">
        <f t="shared" si="38"/>
        <v>-71.383241669004818</v>
      </c>
      <c r="U118" s="222">
        <f t="shared" si="39"/>
        <v>-20.352800388611815</v>
      </c>
      <c r="V118" s="223">
        <f t="shared" si="40"/>
        <v>-106.28812130016979</v>
      </c>
      <c r="W118" s="223">
        <f t="shared" si="41"/>
        <v>-66.527622735918143</v>
      </c>
      <c r="X118" s="223"/>
      <c r="Y118" s="280"/>
    </row>
    <row r="119" spans="13:25" hidden="1">
      <c r="M119" s="287">
        <f t="shared" si="34"/>
        <v>4.23764590225404</v>
      </c>
      <c r="N119" s="288">
        <f t="shared" si="21"/>
        <v>4.23764590225404</v>
      </c>
      <c r="O119" s="289">
        <f t="shared" si="35"/>
        <v>7.3960873527978796E-2</v>
      </c>
      <c r="P119" s="219">
        <f t="shared" si="36"/>
        <v>71.305728587145097</v>
      </c>
      <c r="Q119" s="219">
        <f t="shared" si="37"/>
        <v>20.430313470471553</v>
      </c>
      <c r="R119" s="219">
        <f t="shared" si="32"/>
        <v>106.19174169285353</v>
      </c>
      <c r="S119" s="220">
        <f t="shared" si="33"/>
        <v>66.624002343234395</v>
      </c>
      <c r="T119" s="221">
        <f t="shared" si="38"/>
        <v>-71.305728587145097</v>
      </c>
      <c r="U119" s="222">
        <f t="shared" si="39"/>
        <v>-20.430313470471553</v>
      </c>
      <c r="V119" s="223">
        <f t="shared" si="40"/>
        <v>-106.19174169285353</v>
      </c>
      <c r="W119" s="223">
        <f t="shared" si="41"/>
        <v>-66.624002343234395</v>
      </c>
      <c r="X119" s="223"/>
      <c r="Y119" s="280"/>
    </row>
    <row r="120" spans="13:25" hidden="1">
      <c r="M120" s="287">
        <f t="shared" si="34"/>
        <v>3.9441261351149084</v>
      </c>
      <c r="N120" s="288">
        <f t="shared" si="21"/>
        <v>3.9441261351149084</v>
      </c>
      <c r="O120" s="289">
        <f t="shared" si="35"/>
        <v>6.8837987171713896E-2</v>
      </c>
      <c r="P120" s="219">
        <f t="shared" si="36"/>
        <v>71.224836537066309</v>
      </c>
      <c r="Q120" s="219">
        <f t="shared" si="37"/>
        <v>20.511205520550337</v>
      </c>
      <c r="R120" s="219">
        <f t="shared" si="32"/>
        <v>106.09072332071747</v>
      </c>
      <c r="S120" s="220">
        <f t="shared" si="33"/>
        <v>66.725020715370448</v>
      </c>
      <c r="T120" s="221">
        <f t="shared" si="38"/>
        <v>-71.224836537066309</v>
      </c>
      <c r="U120" s="222">
        <f t="shared" si="39"/>
        <v>-20.511205520550337</v>
      </c>
      <c r="V120" s="223">
        <f t="shared" si="40"/>
        <v>-106.09072332071747</v>
      </c>
      <c r="W120" s="223">
        <f t="shared" si="41"/>
        <v>-66.725020715370448</v>
      </c>
      <c r="X120" s="223"/>
      <c r="Y120" s="280"/>
    </row>
    <row r="121" spans="13:25" hidden="1">
      <c r="M121" s="287">
        <f t="shared" si="34"/>
        <v>3.6506063679757768</v>
      </c>
      <c r="N121" s="288">
        <f t="shared" si="21"/>
        <v>3.6506063679757768</v>
      </c>
      <c r="O121" s="289">
        <f t="shared" si="35"/>
        <v>6.3715100815448983E-2</v>
      </c>
      <c r="P121" s="219">
        <f t="shared" si="36"/>
        <v>71.140534290611683</v>
      </c>
      <c r="Q121" s="219">
        <f t="shared" si="37"/>
        <v>20.595507767004964</v>
      </c>
      <c r="R121" s="219">
        <f t="shared" si="32"/>
        <v>105.98499622474526</v>
      </c>
      <c r="S121" s="220">
        <f t="shared" si="33"/>
        <v>66.830747811342661</v>
      </c>
      <c r="T121" s="221">
        <f t="shared" si="38"/>
        <v>-71.140534290611683</v>
      </c>
      <c r="U121" s="222">
        <f t="shared" si="39"/>
        <v>-20.595507767004964</v>
      </c>
      <c r="V121" s="223">
        <f t="shared" si="40"/>
        <v>-105.98499622474526</v>
      </c>
      <c r="W121" s="223">
        <f t="shared" si="41"/>
        <v>-66.830747811342661</v>
      </c>
      <c r="X121" s="223"/>
      <c r="Y121" s="280"/>
    </row>
    <row r="122" spans="13:25" hidden="1">
      <c r="M122" s="287">
        <f t="shared" si="34"/>
        <v>3.3570866008366451</v>
      </c>
      <c r="N122" s="288">
        <f t="shared" si="21"/>
        <v>3.3570866008366451</v>
      </c>
      <c r="O122" s="289">
        <f t="shared" si="35"/>
        <v>5.8592214459184083E-2</v>
      </c>
      <c r="P122" s="219">
        <f t="shared" si="36"/>
        <v>71.052788484506806</v>
      </c>
      <c r="Q122" s="219">
        <f t="shared" si="37"/>
        <v>20.683253573109841</v>
      </c>
      <c r="R122" s="219">
        <f t="shared" si="32"/>
        <v>105.87448509198047</v>
      </c>
      <c r="S122" s="220">
        <f t="shared" si="33"/>
        <v>66.941258944107446</v>
      </c>
      <c r="T122" s="221">
        <f t="shared" si="38"/>
        <v>-71.052788484506806</v>
      </c>
      <c r="U122" s="222">
        <f t="shared" si="39"/>
        <v>-20.683253573109841</v>
      </c>
      <c r="V122" s="223">
        <f t="shared" si="40"/>
        <v>-105.87448509198047</v>
      </c>
      <c r="W122" s="223">
        <f t="shared" si="41"/>
        <v>-66.941258944107446</v>
      </c>
      <c r="X122" s="223"/>
      <c r="Y122" s="280"/>
    </row>
    <row r="123" spans="13:25" hidden="1">
      <c r="M123" s="287">
        <f t="shared" si="34"/>
        <v>3.0635668336975135</v>
      </c>
      <c r="N123" s="288">
        <f t="shared" si="21"/>
        <v>3.0635668336975135</v>
      </c>
      <c r="O123" s="289">
        <f t="shared" si="35"/>
        <v>5.3469328102919177E-2</v>
      </c>
      <c r="P123" s="219">
        <f t="shared" si="36"/>
        <v>70.961563539615597</v>
      </c>
      <c r="Q123" s="219">
        <f t="shared" si="37"/>
        <v>20.774478518001047</v>
      </c>
      <c r="R123" s="219">
        <f t="shared" si="32"/>
        <v>105.75910892539808</v>
      </c>
      <c r="S123" s="220">
        <f t="shared" si="33"/>
        <v>67.05663511068984</v>
      </c>
      <c r="T123" s="221">
        <f t="shared" si="38"/>
        <v>-70.961563539615597</v>
      </c>
      <c r="U123" s="222">
        <f t="shared" si="39"/>
        <v>-20.774478518001047</v>
      </c>
      <c r="V123" s="223">
        <f t="shared" si="40"/>
        <v>-105.75910892539808</v>
      </c>
      <c r="W123" s="223">
        <f t="shared" si="41"/>
        <v>-67.05663511068984</v>
      </c>
      <c r="X123" s="223"/>
      <c r="Y123" s="280"/>
    </row>
    <row r="124" spans="13:25" hidden="1">
      <c r="M124" s="287">
        <f t="shared" si="34"/>
        <v>2.7700470665583818</v>
      </c>
      <c r="N124" s="288">
        <f t="shared" si="21"/>
        <v>2.7700470665583818</v>
      </c>
      <c r="O124" s="289">
        <f t="shared" si="35"/>
        <v>4.8346441746654277E-2</v>
      </c>
      <c r="P124" s="219">
        <f t="shared" si="36"/>
        <v>70.866821573380719</v>
      </c>
      <c r="Q124" s="219">
        <f t="shared" si="37"/>
        <v>20.869220484235914</v>
      </c>
      <c r="R124" s="219">
        <f t="shared" si="32"/>
        <v>105.63878067810781</v>
      </c>
      <c r="S124" s="220">
        <f t="shared" si="33"/>
        <v>67.176963357980114</v>
      </c>
      <c r="T124" s="221">
        <f t="shared" si="38"/>
        <v>-70.866821573380719</v>
      </c>
      <c r="U124" s="222">
        <f t="shared" si="39"/>
        <v>-20.869220484235914</v>
      </c>
      <c r="V124" s="223">
        <f t="shared" si="40"/>
        <v>-105.63878067810781</v>
      </c>
      <c r="W124" s="223">
        <f t="shared" si="41"/>
        <v>-67.176963357980114</v>
      </c>
      <c r="X124" s="223"/>
      <c r="Y124" s="280"/>
    </row>
    <row r="125" spans="13:25" hidden="1">
      <c r="M125" s="287">
        <f t="shared" si="34"/>
        <v>2.4765272994192502</v>
      </c>
      <c r="N125" s="288">
        <f t="shared" si="21"/>
        <v>2.4765272994192502</v>
      </c>
      <c r="O125" s="289">
        <f t="shared" si="35"/>
        <v>4.322355539038937E-2</v>
      </c>
      <c r="P125" s="219">
        <f t="shared" si="36"/>
        <v>70.768522304912196</v>
      </c>
      <c r="Q125" s="219">
        <f t="shared" si="37"/>
        <v>20.967519752704433</v>
      </c>
      <c r="R125" s="219">
        <f t="shared" si="32"/>
        <v>105.51340684763011</v>
      </c>
      <c r="S125" s="220">
        <f t="shared" si="33"/>
        <v>67.302337188457813</v>
      </c>
      <c r="T125" s="221">
        <f t="shared" si="38"/>
        <v>-70.768522304912196</v>
      </c>
      <c r="U125" s="222">
        <f t="shared" si="39"/>
        <v>-20.967519752704433</v>
      </c>
      <c r="V125" s="223">
        <f t="shared" si="40"/>
        <v>-105.51340684763011</v>
      </c>
      <c r="W125" s="223">
        <f t="shared" si="41"/>
        <v>-67.302337188457813</v>
      </c>
      <c r="X125" s="223"/>
      <c r="Y125" s="280"/>
    </row>
    <row r="126" spans="13:25" hidden="1">
      <c r="M126" s="287">
        <f t="shared" si="34"/>
        <v>2.1830075322801186</v>
      </c>
      <c r="N126" s="288">
        <f t="shared" si="21"/>
        <v>2.1830075322801186</v>
      </c>
      <c r="O126" s="289">
        <f t="shared" si="35"/>
        <v>3.8100669034124464E-2</v>
      </c>
      <c r="P126" s="219">
        <f t="shared" si="36"/>
        <v>70.666622952127852</v>
      </c>
      <c r="Q126" s="219">
        <f t="shared" si="37"/>
        <v>21.069419105488794</v>
      </c>
      <c r="R126" s="219">
        <f t="shared" si="32"/>
        <v>105.38288702533151</v>
      </c>
      <c r="S126" s="220">
        <f t="shared" si="33"/>
        <v>67.432857010756408</v>
      </c>
      <c r="T126" s="221">
        <f t="shared" si="38"/>
        <v>-70.666622952127852</v>
      </c>
      <c r="U126" s="222">
        <f t="shared" si="39"/>
        <v>-21.069419105488794</v>
      </c>
      <c r="V126" s="223">
        <f t="shared" si="40"/>
        <v>-105.38288702533151</v>
      </c>
      <c r="W126" s="223">
        <f t="shared" si="41"/>
        <v>-67.432857010756408</v>
      </c>
      <c r="X126" s="223"/>
      <c r="Y126" s="280"/>
    </row>
    <row r="127" spans="13:25" hidden="1">
      <c r="M127" s="287">
        <f t="shared" si="34"/>
        <v>1.8894877651409872</v>
      </c>
      <c r="N127" s="288">
        <f t="shared" si="21"/>
        <v>1.8894877651409872</v>
      </c>
      <c r="O127" s="289">
        <f t="shared" si="35"/>
        <v>3.2977782677859564E-2</v>
      </c>
      <c r="P127" s="219">
        <f t="shared" si="36"/>
        <v>70.561078120282247</v>
      </c>
      <c r="Q127" s="219">
        <f t="shared" si="37"/>
        <v>21.174963937334393</v>
      </c>
      <c r="R127" s="219">
        <f t="shared" si="32"/>
        <v>105.24711339533647</v>
      </c>
      <c r="S127" s="220">
        <f t="shared" si="33"/>
        <v>67.568630640751451</v>
      </c>
      <c r="T127" s="221">
        <f t="shared" si="38"/>
        <v>-70.561078120282247</v>
      </c>
      <c r="U127" s="222">
        <f t="shared" si="39"/>
        <v>-21.174963937334393</v>
      </c>
      <c r="V127" s="223">
        <f t="shared" si="40"/>
        <v>-105.24711339533647</v>
      </c>
      <c r="W127" s="223">
        <f t="shared" si="41"/>
        <v>-67.568630640751451</v>
      </c>
      <c r="X127" s="223"/>
      <c r="Y127" s="280"/>
    </row>
    <row r="128" spans="13:25" hidden="1">
      <c r="M128" s="287">
        <f t="shared" si="34"/>
        <v>1.5959679980018557</v>
      </c>
      <c r="N128" s="288">
        <f t="shared" si="21"/>
        <v>1.5959679980018557</v>
      </c>
      <c r="O128" s="289">
        <f t="shared" si="35"/>
        <v>2.7854896321594665E-2</v>
      </c>
      <c r="P128" s="219">
        <f t="shared" si="36"/>
        <v>70.451839681147248</v>
      </c>
      <c r="Q128" s="219">
        <f t="shared" si="37"/>
        <v>21.284202376469388</v>
      </c>
      <c r="R128" s="219">
        <f t="shared" si="32"/>
        <v>105.10597017632196</v>
      </c>
      <c r="S128" s="220">
        <f t="shared" si="33"/>
        <v>67.709773859765974</v>
      </c>
      <c r="T128" s="221">
        <f t="shared" si="38"/>
        <v>-70.451839681147248</v>
      </c>
      <c r="U128" s="222">
        <f t="shared" si="39"/>
        <v>-21.284202376469388</v>
      </c>
      <c r="V128" s="223">
        <f t="shared" si="40"/>
        <v>-105.10597017632196</v>
      </c>
      <c r="W128" s="223">
        <f t="shared" si="41"/>
        <v>-67.709773859765974</v>
      </c>
      <c r="X128" s="223"/>
      <c r="Y128" s="280"/>
    </row>
    <row r="129" spans="13:25" hidden="1">
      <c r="M129" s="287">
        <f t="shared" si="34"/>
        <v>1.3024482308627243</v>
      </c>
      <c r="N129" s="288">
        <f t="shared" si="21"/>
        <v>1.3024482308627243</v>
      </c>
      <c r="O129" s="289">
        <f t="shared" si="35"/>
        <v>2.2732009965329765E-2</v>
      </c>
      <c r="P129" s="219">
        <f t="shared" si="36"/>
        <v>70.338856642021199</v>
      </c>
      <c r="Q129" s="219">
        <f t="shared" si="37"/>
        <v>21.397185415595434</v>
      </c>
      <c r="R129" s="219">
        <f t="shared" si="32"/>
        <v>104.95933299852257</v>
      </c>
      <c r="S129" s="220">
        <f t="shared" si="33"/>
        <v>67.856411037565351</v>
      </c>
      <c r="T129" s="221">
        <f t="shared" si="38"/>
        <v>-70.338856642021199</v>
      </c>
      <c r="U129" s="222">
        <f t="shared" si="39"/>
        <v>-21.397185415595434</v>
      </c>
      <c r="V129" s="223">
        <f t="shared" si="40"/>
        <v>-104.95933299852257</v>
      </c>
      <c r="W129" s="223">
        <f t="shared" si="41"/>
        <v>-67.856411037565351</v>
      </c>
      <c r="X129" s="223"/>
      <c r="Y129" s="280"/>
    </row>
    <row r="130" spans="13:25" hidden="1">
      <c r="M130" s="287">
        <f t="shared" si="34"/>
        <v>1.0089284637235929</v>
      </c>
      <c r="N130" s="288">
        <f t="shared" si="21"/>
        <v>1.0089284637235929</v>
      </c>
      <c r="O130" s="289">
        <f t="shared" si="35"/>
        <v>1.7609123609064865E-2</v>
      </c>
      <c r="P130" s="219">
        <f t="shared" si="36"/>
        <v>70.222075003650104</v>
      </c>
      <c r="Q130" s="219">
        <f t="shared" si="37"/>
        <v>21.51396705396655</v>
      </c>
      <c r="R130" s="219">
        <f t="shared" si="32"/>
        <v>104.80706820698579</v>
      </c>
      <c r="S130" s="220">
        <f t="shared" si="33"/>
        <v>68.008675829102131</v>
      </c>
      <c r="T130" s="221">
        <f t="shared" si="38"/>
        <v>-70.222075003650104</v>
      </c>
      <c r="U130" s="222">
        <f t="shared" si="39"/>
        <v>-21.51396705396655</v>
      </c>
      <c r="V130" s="223">
        <f t="shared" si="40"/>
        <v>-104.80706820698579</v>
      </c>
      <c r="W130" s="223">
        <f t="shared" si="41"/>
        <v>-68.008675829102131</v>
      </c>
      <c r="X130" s="223"/>
      <c r="Y130" s="280"/>
    </row>
    <row r="131" spans="13:25" hidden="1">
      <c r="M131" s="287">
        <f t="shared" si="34"/>
        <v>0.71540869658446149</v>
      </c>
      <c r="N131" s="288">
        <f t="shared" si="21"/>
        <v>0.71540869658446149</v>
      </c>
      <c r="O131" s="289">
        <f t="shared" si="35"/>
        <v>1.2486237252799964E-2</v>
      </c>
      <c r="P131" s="219">
        <f t="shared" si="36"/>
        <v>70.10143760603566</v>
      </c>
      <c r="Q131" s="219">
        <f t="shared" si="37"/>
        <v>21.634604451580987</v>
      </c>
      <c r="R131" s="219">
        <f t="shared" si="32"/>
        <v>104.64903208057673</v>
      </c>
      <c r="S131" s="220">
        <f t="shared" si="33"/>
        <v>68.166711955511204</v>
      </c>
      <c r="T131" s="221">
        <f t="shared" si="38"/>
        <v>-70.10143760603566</v>
      </c>
      <c r="U131" s="222">
        <f t="shared" si="39"/>
        <v>-21.634604451580987</v>
      </c>
      <c r="V131" s="223">
        <f t="shared" si="40"/>
        <v>-104.64903208057673</v>
      </c>
      <c r="W131" s="223">
        <f t="shared" si="41"/>
        <v>-68.166711955511204</v>
      </c>
      <c r="X131" s="223"/>
      <c r="Y131" s="280"/>
    </row>
    <row r="132" spans="13:25" hidden="1">
      <c r="M132" s="287">
        <f t="shared" si="34"/>
        <v>0.42188892944533007</v>
      </c>
      <c r="N132" s="288">
        <f t="shared" si="21"/>
        <v>0.42188892944533007</v>
      </c>
      <c r="O132" s="289">
        <f t="shared" si="35"/>
        <v>7.3633508965350643E-3</v>
      </c>
      <c r="P132" s="219">
        <f t="shared" si="36"/>
        <v>69.976883960984708</v>
      </c>
      <c r="Q132" s="219">
        <f t="shared" si="37"/>
        <v>21.759158096631936</v>
      </c>
      <c r="R132" s="219">
        <f t="shared" si="32"/>
        <v>104.48506995437972</v>
      </c>
      <c r="S132" s="220">
        <f t="shared" si="33"/>
        <v>68.330674081708196</v>
      </c>
      <c r="T132" s="221">
        <f t="shared" si="38"/>
        <v>-69.976883960984708</v>
      </c>
      <c r="U132" s="222">
        <f t="shared" si="39"/>
        <v>-21.759158096631936</v>
      </c>
      <c r="V132" s="223">
        <f t="shared" si="40"/>
        <v>-104.48506995437972</v>
      </c>
      <c r="W132" s="223">
        <f t="shared" si="41"/>
        <v>-68.330674081708196</v>
      </c>
      <c r="X132" s="223"/>
      <c r="Y132" s="280"/>
    </row>
    <row r="133" spans="13:25" hidden="1">
      <c r="M133" s="287">
        <f t="shared" si="34"/>
        <v>0.12836916230619866</v>
      </c>
      <c r="N133" s="288">
        <f t="shared" si="21"/>
        <v>0.12836916230619866</v>
      </c>
      <c r="O133" s="289">
        <f t="shared" si="35"/>
        <v>2.2404645402701638E-3</v>
      </c>
      <c r="P133" s="219">
        <f t="shared" si="36"/>
        <v>69.848350070113511</v>
      </c>
      <c r="Q133" s="219">
        <f t="shared" si="37"/>
        <v>21.887691987503132</v>
      </c>
      <c r="R133" s="219">
        <f t="shared" si="32"/>
        <v>104.31501523090425</v>
      </c>
      <c r="S133" s="220">
        <f t="shared" si="33"/>
        <v>68.50072880518367</v>
      </c>
      <c r="T133" s="221">
        <f t="shared" si="38"/>
        <v>-69.848350070113511</v>
      </c>
      <c r="U133" s="222">
        <f t="shared" si="39"/>
        <v>-21.887691987503132</v>
      </c>
      <c r="V133" s="223">
        <f t="shared" si="40"/>
        <v>-104.31501523090425</v>
      </c>
      <c r="W133" s="223">
        <f t="shared" si="41"/>
        <v>-68.50072880518367</v>
      </c>
      <c r="X133" s="223"/>
      <c r="Y133" s="280"/>
    </row>
    <row r="134" spans="13:25" hidden="1">
      <c r="M134" s="287">
        <f t="shared" si="34"/>
        <v>-0.16515060483293276</v>
      </c>
      <c r="N134" s="288">
        <f t="shared" si="21"/>
        <v>-0.16515060483293276</v>
      </c>
      <c r="O134" s="289">
        <f t="shared" si="35"/>
        <v>-2.8824218159947362E-3</v>
      </c>
      <c r="P134" s="219">
        <f t="shared" si="36"/>
        <v>69.715768226865706</v>
      </c>
      <c r="Q134" s="219">
        <f t="shared" si="37"/>
        <v>22.020273830750941</v>
      </c>
      <c r="R134" s="219">
        <f t="shared" si="32"/>
        <v>104.13868826278507</v>
      </c>
      <c r="S134" s="220">
        <f t="shared" si="33"/>
        <v>68.677055773302868</v>
      </c>
      <c r="T134" s="221">
        <f t="shared" si="38"/>
        <v>-69.715768226865706</v>
      </c>
      <c r="U134" s="222">
        <f t="shared" si="39"/>
        <v>-22.020273830750941</v>
      </c>
      <c r="V134" s="223">
        <f t="shared" si="40"/>
        <v>-104.13868826278507</v>
      </c>
      <c r="W134" s="223">
        <f t="shared" si="41"/>
        <v>-68.677055773302868</v>
      </c>
      <c r="X134" s="223"/>
      <c r="Y134" s="280"/>
    </row>
    <row r="135" spans="13:25" hidden="1">
      <c r="M135" s="287">
        <f t="shared" si="34"/>
        <v>-0.45867037197206417</v>
      </c>
      <c r="N135" s="288">
        <f t="shared" si="21"/>
        <v>-0.45867037197206417</v>
      </c>
      <c r="O135" s="289">
        <f t="shared" si="35"/>
        <v>-8.0053081722596363E-3</v>
      </c>
      <c r="P135" s="219">
        <f t="shared" si="36"/>
        <v>69.579066800920657</v>
      </c>
      <c r="Q135" s="219">
        <f t="shared" si="37"/>
        <v>22.156975256695979</v>
      </c>
      <c r="R135" s="219">
        <f t="shared" si="32"/>
        <v>103.95589508634575</v>
      </c>
      <c r="S135" s="220">
        <f t="shared" si="33"/>
        <v>68.859848949742172</v>
      </c>
      <c r="T135" s="221">
        <f t="shared" si="38"/>
        <v>-69.579066800920657</v>
      </c>
      <c r="U135" s="222">
        <f t="shared" si="39"/>
        <v>-22.156975256695979</v>
      </c>
      <c r="V135" s="223">
        <f t="shared" si="40"/>
        <v>-103.95589508634575</v>
      </c>
      <c r="W135" s="223">
        <f t="shared" si="41"/>
        <v>-68.859848949742172</v>
      </c>
      <c r="X135" s="223"/>
      <c r="Y135" s="280"/>
    </row>
    <row r="136" spans="13:25" hidden="1">
      <c r="M136" s="287">
        <f t="shared" si="34"/>
        <v>-0.75219013911119559</v>
      </c>
      <c r="N136" s="288">
        <f t="shared" ref="N136:N193" si="42">N135-step</f>
        <v>-0.75219013911119559</v>
      </c>
      <c r="O136" s="289">
        <f t="shared" si="35"/>
        <v>-1.3128194528524538E-2</v>
      </c>
      <c r="P136" s="219">
        <f t="shared" si="36"/>
        <v>69.438170003163535</v>
      </c>
      <c r="Q136" s="219">
        <f t="shared" si="37"/>
        <v>22.297872054453109</v>
      </c>
      <c r="R136" s="219">
        <f t="shared" ref="R136:R167" si="43">IFERROR(DEGREES(grt_+ACOS((SIN(h_)-SIN(d_)*SIN(O136))/COS(d_)/COS(O136))),#N/A)</f>
        <v>103.76642598132133</v>
      </c>
      <c r="S136" s="220">
        <f t="shared" ref="S136:S167" si="44">IFERROR(DEGREES(grt_-ACOS((SIN(h_)-SIN(d_)*SIN(O136))/COS(d_)/COS(O136))),#N/A)</f>
        <v>69.049318054766587</v>
      </c>
      <c r="T136" s="221">
        <f t="shared" si="38"/>
        <v>-69.438170003163535</v>
      </c>
      <c r="U136" s="222">
        <f t="shared" si="39"/>
        <v>-22.297872054453109</v>
      </c>
      <c r="V136" s="223">
        <f t="shared" si="40"/>
        <v>-103.76642598132133</v>
      </c>
      <c r="W136" s="223">
        <f t="shared" si="41"/>
        <v>-69.049318054766587</v>
      </c>
      <c r="X136" s="223"/>
      <c r="Y136" s="280"/>
    </row>
    <row r="137" spans="13:25" hidden="1">
      <c r="M137" s="287">
        <f t="shared" si="34"/>
        <v>-1.045709906250327</v>
      </c>
      <c r="N137" s="288">
        <f t="shared" si="42"/>
        <v>-1.045709906250327</v>
      </c>
      <c r="O137" s="289">
        <f t="shared" si="35"/>
        <v>-1.8251080884789436E-2</v>
      </c>
      <c r="P137" s="219">
        <f t="shared" si="36"/>
        <v>69.29299762915187</v>
      </c>
      <c r="Q137" s="219">
        <f t="shared" si="37"/>
        <v>22.443044428464784</v>
      </c>
      <c r="R137" s="219">
        <f t="shared" si="43"/>
        <v>103.57005382700063</v>
      </c>
      <c r="S137" s="220">
        <f t="shared" si="44"/>
        <v>69.2456902090873</v>
      </c>
      <c r="T137" s="221">
        <f t="shared" si="38"/>
        <v>-69.29299762915187</v>
      </c>
      <c r="U137" s="222">
        <f t="shared" si="39"/>
        <v>-22.443044428464784</v>
      </c>
      <c r="V137" s="223">
        <f t="shared" si="40"/>
        <v>-103.57005382700063</v>
      </c>
      <c r="W137" s="223">
        <f t="shared" si="41"/>
        <v>-69.2456902090873</v>
      </c>
      <c r="X137" s="223"/>
      <c r="Y137" s="280"/>
    </row>
    <row r="138" spans="13:25" hidden="1">
      <c r="M138" s="287">
        <f t="shared" si="34"/>
        <v>-1.3392296733894584</v>
      </c>
      <c r="N138" s="288">
        <f t="shared" si="42"/>
        <v>-1.3392296733894584</v>
      </c>
      <c r="O138" s="289">
        <f t="shared" si="35"/>
        <v>-2.3373967241054339E-2</v>
      </c>
      <c r="P138" s="219">
        <f t="shared" si="36"/>
        <v>69.143464778741418</v>
      </c>
      <c r="Q138" s="219">
        <f t="shared" si="37"/>
        <v>22.592577278875218</v>
      </c>
      <c r="R138" s="219">
        <f t="shared" si="43"/>
        <v>103.3665322187959</v>
      </c>
      <c r="S138" s="220">
        <f t="shared" si="44"/>
        <v>69.449211817292024</v>
      </c>
      <c r="T138" s="221">
        <f t="shared" si="38"/>
        <v>-69.143464778741418</v>
      </c>
      <c r="U138" s="222">
        <f t="shared" si="39"/>
        <v>-22.592577278875218</v>
      </c>
      <c r="V138" s="223">
        <f t="shared" si="40"/>
        <v>-103.3665322187959</v>
      </c>
      <c r="W138" s="223">
        <f t="shared" si="41"/>
        <v>-69.449211817292024</v>
      </c>
      <c r="X138" s="223"/>
      <c r="Y138" s="280"/>
    </row>
    <row r="139" spans="13:25" hidden="1">
      <c r="M139" s="287">
        <f t="shared" si="34"/>
        <v>-1.6327494405285898</v>
      </c>
      <c r="N139" s="288">
        <f t="shared" si="42"/>
        <v>-1.6327494405285898</v>
      </c>
      <c r="O139" s="289">
        <f t="shared" si="35"/>
        <v>-2.8496853597319238E-2</v>
      </c>
      <c r="P139" s="219">
        <f t="shared" si="36"/>
        <v>68.989481549219704</v>
      </c>
      <c r="Q139" s="219">
        <f t="shared" si="37"/>
        <v>22.746560508396946</v>
      </c>
      <c r="R139" s="219">
        <f t="shared" si="43"/>
        <v>103.15559330142348</v>
      </c>
      <c r="S139" s="220">
        <f t="shared" si="44"/>
        <v>69.660150734664441</v>
      </c>
      <c r="T139" s="221">
        <f t="shared" si="38"/>
        <v>-68.989481549219704</v>
      </c>
      <c r="U139" s="222">
        <f t="shared" si="39"/>
        <v>-22.746560508396946</v>
      </c>
      <c r="V139" s="223">
        <f t="shared" si="40"/>
        <v>-103.15559330142348</v>
      </c>
      <c r="W139" s="223">
        <f t="shared" si="41"/>
        <v>-69.660150734664441</v>
      </c>
      <c r="X139" s="223"/>
      <c r="Y139" s="280"/>
    </row>
    <row r="140" spans="13:25" hidden="1">
      <c r="M140" s="287">
        <f t="shared" si="34"/>
        <v>-1.9262692076677213</v>
      </c>
      <c r="N140" s="288">
        <f t="shared" si="42"/>
        <v>-1.9262692076677213</v>
      </c>
      <c r="O140" s="289">
        <f t="shared" si="35"/>
        <v>-3.3619739953584138E-2</v>
      </c>
      <c r="P140" s="219">
        <f t="shared" si="36"/>
        <v>68.830952698931313</v>
      </c>
      <c r="Q140" s="219">
        <f t="shared" si="37"/>
        <v>22.905089358685327</v>
      </c>
      <c r="R140" s="219">
        <f t="shared" si="43"/>
        <v>102.93694526502408</v>
      </c>
      <c r="S140" s="220">
        <f t="shared" si="44"/>
        <v>69.878798771063842</v>
      </c>
      <c r="T140" s="221">
        <f t="shared" si="38"/>
        <v>-68.830952698931313</v>
      </c>
      <c r="U140" s="222">
        <f t="shared" si="39"/>
        <v>-22.905089358685327</v>
      </c>
      <c r="V140" s="223">
        <f t="shared" si="40"/>
        <v>-102.93694526502408</v>
      </c>
      <c r="W140" s="223">
        <f t="shared" si="41"/>
        <v>-69.878798771063842</v>
      </c>
      <c r="X140" s="223"/>
      <c r="Y140" s="280"/>
    </row>
    <row r="141" spans="13:25" hidden="1">
      <c r="M141" s="287">
        <f t="shared" si="34"/>
        <v>-2.2197889748068524</v>
      </c>
      <c r="N141" s="288">
        <f t="shared" si="42"/>
        <v>-2.2197889748068524</v>
      </c>
      <c r="O141" s="289">
        <f t="shared" si="35"/>
        <v>-3.8742626309849038E-2</v>
      </c>
      <c r="P141" s="219">
        <f t="shared" si="36"/>
        <v>68.667777277959232</v>
      </c>
      <c r="Q141" s="219">
        <f t="shared" si="37"/>
        <v>23.068264779657426</v>
      </c>
      <c r="R141" s="219">
        <f t="shared" si="43"/>
        <v>102.71026943804384</v>
      </c>
      <c r="S141" s="220">
        <f t="shared" si="44"/>
        <v>70.105474598044097</v>
      </c>
      <c r="T141" s="221">
        <f t="shared" si="38"/>
        <v>-68.667777277959232</v>
      </c>
      <c r="U141" s="222">
        <f t="shared" si="39"/>
        <v>-23.068264779657426</v>
      </c>
      <c r="V141" s="223">
        <f t="shared" si="40"/>
        <v>-102.71026943804384</v>
      </c>
      <c r="W141" s="223">
        <f t="shared" si="41"/>
        <v>-70.105474598044097</v>
      </c>
      <c r="X141" s="223"/>
      <c r="Y141" s="280"/>
    </row>
    <row r="142" spans="13:25" hidden="1">
      <c r="M142" s="287">
        <f t="shared" si="34"/>
        <v>-2.5133087419459841</v>
      </c>
      <c r="N142" s="288">
        <f t="shared" si="42"/>
        <v>-2.5133087419459841</v>
      </c>
      <c r="O142" s="289">
        <f t="shared" si="35"/>
        <v>-4.3865512666113937E-2</v>
      </c>
      <c r="P142" s="219">
        <f t="shared" si="36"/>
        <v>68.499848221931018</v>
      </c>
      <c r="Q142" s="219">
        <f t="shared" si="37"/>
        <v>23.236193835685636</v>
      </c>
      <c r="R142" s="219">
        <f t="shared" si="43"/>
        <v>102.47521689469832</v>
      </c>
      <c r="S142" s="220">
        <f t="shared" si="44"/>
        <v>70.340527141389614</v>
      </c>
      <c r="T142" s="221">
        <f t="shared" si="38"/>
        <v>-68.499848221931018</v>
      </c>
      <c r="U142" s="222">
        <f t="shared" si="39"/>
        <v>-23.236193835685636</v>
      </c>
      <c r="V142" s="223">
        <f t="shared" si="40"/>
        <v>-102.47521689469832</v>
      </c>
      <c r="W142" s="223">
        <f t="shared" si="41"/>
        <v>-70.340527141389614</v>
      </c>
      <c r="X142" s="223"/>
      <c r="Y142" s="280"/>
    </row>
    <row r="143" spans="13:25" hidden="1">
      <c r="M143" s="287">
        <f t="shared" si="34"/>
        <v>-2.8068285090851157</v>
      </c>
      <c r="N143" s="288">
        <f t="shared" si="42"/>
        <v>-2.8068285090851157</v>
      </c>
      <c r="O143" s="289">
        <f t="shared" si="35"/>
        <v>-4.8988399022378844E-2</v>
      </c>
      <c r="P143" s="219">
        <f t="shared" si="36"/>
        <v>68.327051904448879</v>
      </c>
      <c r="Q143" s="219">
        <f t="shared" si="37"/>
        <v>23.408990153167768</v>
      </c>
      <c r="R143" s="219">
        <f t="shared" si="43"/>
        <v>102.2314044742018</v>
      </c>
      <c r="S143" s="220">
        <f t="shared" si="44"/>
        <v>70.584339561886139</v>
      </c>
      <c r="T143" s="221">
        <f t="shared" si="38"/>
        <v>-68.327051904448879</v>
      </c>
      <c r="U143" s="222">
        <f t="shared" si="39"/>
        <v>-23.408990153167768</v>
      </c>
      <c r="V143" s="223">
        <f t="shared" si="40"/>
        <v>-102.2314044742018</v>
      </c>
      <c r="W143" s="223">
        <f t="shared" si="41"/>
        <v>-70.584339561886139</v>
      </c>
      <c r="X143" s="223"/>
      <c r="Y143" s="280"/>
    </row>
    <row r="144" spans="13:25" hidden="1">
      <c r="M144" s="287">
        <f t="shared" si="34"/>
        <v>-3.1003482762242474</v>
      </c>
      <c r="N144" s="288">
        <f t="shared" si="42"/>
        <v>-3.1003482762242474</v>
      </c>
      <c r="O144" s="289">
        <f t="shared" si="35"/>
        <v>-5.4111285378643743E-2</v>
      </c>
      <c r="P144" s="219">
        <f t="shared" si="36"/>
        <v>68.149267642965071</v>
      </c>
      <c r="Q144" s="219">
        <f t="shared" si="37"/>
        <v>23.586774414651568</v>
      </c>
      <c r="R144" s="219">
        <f t="shared" si="43"/>
        <v>101.97841008207268</v>
      </c>
      <c r="S144" s="220">
        <f t="shared" si="44"/>
        <v>70.837333954015236</v>
      </c>
      <c r="T144" s="221">
        <f t="shared" si="38"/>
        <v>-68.149267642965071</v>
      </c>
      <c r="U144" s="222">
        <f t="shared" si="39"/>
        <v>-23.586774414651568</v>
      </c>
      <c r="V144" s="223">
        <f t="shared" si="40"/>
        <v>-101.97841008207268</v>
      </c>
      <c r="W144" s="223">
        <f t="shared" si="41"/>
        <v>-70.837333954015236</v>
      </c>
      <c r="X144" s="223"/>
      <c r="Y144" s="280"/>
    </row>
    <row r="145" spans="13:25" hidden="1">
      <c r="M145" s="287">
        <f t="shared" si="34"/>
        <v>-3.393868043363379</v>
      </c>
      <c r="N145" s="288">
        <f t="shared" si="42"/>
        <v>-3.393868043363379</v>
      </c>
      <c r="O145" s="289">
        <f t="shared" si="35"/>
        <v>-5.923417173490865E-2</v>
      </c>
      <c r="P145" s="219">
        <f t="shared" si="36"/>
        <v>67.966367152134609</v>
      </c>
      <c r="Q145" s="219">
        <f t="shared" si="37"/>
        <v>23.769674905482034</v>
      </c>
      <c r="R145" s="219">
        <f t="shared" si="43"/>
        <v>101.71576710850024</v>
      </c>
      <c r="S145" s="220">
        <f t="shared" si="44"/>
        <v>71.099976927587676</v>
      </c>
      <c r="T145" s="221">
        <f t="shared" si="38"/>
        <v>-67.966367152134609</v>
      </c>
      <c r="U145" s="222">
        <f t="shared" si="39"/>
        <v>-23.769674905482034</v>
      </c>
      <c r="V145" s="223">
        <f t="shared" si="40"/>
        <v>-101.71576710850024</v>
      </c>
      <c r="W145" s="223">
        <f t="shared" si="41"/>
        <v>-71.099976927587676</v>
      </c>
      <c r="X145" s="223"/>
      <c r="Y145" s="280"/>
    </row>
    <row r="146" spans="13:25" hidden="1">
      <c r="M146" s="287">
        <f t="shared" si="34"/>
        <v>-3.6873878105025106</v>
      </c>
      <c r="N146" s="288">
        <f t="shared" si="42"/>
        <v>-3.6873878105025106</v>
      </c>
      <c r="O146" s="289">
        <f t="shared" si="35"/>
        <v>-6.435705809117355E-2</v>
      </c>
      <c r="P146" s="219">
        <f t="shared" si="36"/>
        <v>67.778213937741228</v>
      </c>
      <c r="Q146" s="219">
        <f t="shared" si="37"/>
        <v>23.957828119875426</v>
      </c>
      <c r="R146" s="219">
        <f t="shared" si="43"/>
        <v>101.44295775182752</v>
      </c>
      <c r="S146" s="220">
        <f t="shared" si="44"/>
        <v>71.372786284260414</v>
      </c>
      <c r="T146" s="221">
        <f t="shared" si="38"/>
        <v>-67.778213937741228</v>
      </c>
      <c r="U146" s="222">
        <f t="shared" si="39"/>
        <v>-23.957828119875426</v>
      </c>
      <c r="V146" s="223">
        <f t="shared" si="40"/>
        <v>-101.44295775182752</v>
      </c>
      <c r="W146" s="223">
        <f t="shared" si="41"/>
        <v>-71.372786284260414</v>
      </c>
      <c r="X146" s="223"/>
      <c r="Y146" s="280"/>
    </row>
    <row r="147" spans="13:25" hidden="1">
      <c r="M147" s="287">
        <f t="shared" si="34"/>
        <v>-3.9809075776416423</v>
      </c>
      <c r="N147" s="288">
        <f t="shared" si="42"/>
        <v>-3.9809075776416423</v>
      </c>
      <c r="O147" s="289">
        <f t="shared" si="35"/>
        <v>-6.9479944447438463E-2</v>
      </c>
      <c r="P147" s="219">
        <f t="shared" si="36"/>
        <v>67.58466262318349</v>
      </c>
      <c r="Q147" s="219">
        <f t="shared" si="37"/>
        <v>24.151379434433146</v>
      </c>
      <c r="R147" s="219">
        <f t="shared" si="43"/>
        <v>101.15940497214498</v>
      </c>
      <c r="S147" s="220">
        <f t="shared" si="44"/>
        <v>71.656339063942937</v>
      </c>
      <c r="T147" s="221">
        <f t="shared" si="38"/>
        <v>-67.58466262318349</v>
      </c>
      <c r="U147" s="222">
        <f t="shared" si="39"/>
        <v>-24.151379434433146</v>
      </c>
      <c r="V147" s="223">
        <f t="shared" si="40"/>
        <v>-101.15940497214498</v>
      </c>
      <c r="W147" s="223">
        <f t="shared" si="41"/>
        <v>-71.656339063942937</v>
      </c>
      <c r="X147" s="223"/>
      <c r="Y147" s="280"/>
    </row>
    <row r="148" spans="13:25" hidden="1">
      <c r="M148" s="287">
        <f t="shared" si="34"/>
        <v>-4.2744273447807739</v>
      </c>
      <c r="N148" s="288">
        <f t="shared" si="42"/>
        <v>-4.2744273447807739</v>
      </c>
      <c r="O148" s="289">
        <f t="shared" si="35"/>
        <v>-7.4602830803703363E-2</v>
      </c>
      <c r="P148" s="219">
        <f t="shared" si="36"/>
        <v>67.385558199189049</v>
      </c>
      <c r="Q148" s="219">
        <f t="shared" si="37"/>
        <v>24.350483858427594</v>
      </c>
      <c r="R148" s="219">
        <f t="shared" si="43"/>
        <v>100.86446271420387</v>
      </c>
      <c r="S148" s="220">
        <f t="shared" si="44"/>
        <v>71.951281321884053</v>
      </c>
      <c r="T148" s="221">
        <f t="shared" si="38"/>
        <v>-67.385558199189049</v>
      </c>
      <c r="U148" s="222">
        <f t="shared" si="39"/>
        <v>-24.350483858427594</v>
      </c>
      <c r="V148" s="223">
        <f t="shared" si="40"/>
        <v>-100.86446271420387</v>
      </c>
      <c r="W148" s="223">
        <f t="shared" si="41"/>
        <v>-71.951281321884053</v>
      </c>
      <c r="X148" s="223"/>
      <c r="Y148" s="280"/>
    </row>
    <row r="149" spans="13:25" hidden="1">
      <c r="M149" s="287">
        <f t="shared" si="34"/>
        <v>-4.5679471119199055</v>
      </c>
      <c r="N149" s="288">
        <f t="shared" si="42"/>
        <v>-4.5679471119199055</v>
      </c>
      <c r="O149" s="289">
        <f t="shared" si="35"/>
        <v>-7.9725717159968262E-2</v>
      </c>
      <c r="P149" s="219">
        <f t="shared" si="36"/>
        <v>67.180735185848278</v>
      </c>
      <c r="Q149" s="219">
        <f t="shared" si="37"/>
        <v>24.555306871768355</v>
      </c>
      <c r="R149" s="219">
        <f t="shared" si="43"/>
        <v>100.55740392059552</v>
      </c>
      <c r="S149" s="220">
        <f t="shared" si="44"/>
        <v>72.258340115492402</v>
      </c>
      <c r="T149" s="221">
        <f t="shared" si="38"/>
        <v>-67.180735185848278</v>
      </c>
      <c r="U149" s="222">
        <f t="shared" si="39"/>
        <v>-24.555306871768355</v>
      </c>
      <c r="V149" s="223">
        <f t="shared" si="40"/>
        <v>-100.55740392059552</v>
      </c>
      <c r="W149" s="223">
        <f t="shared" si="41"/>
        <v>-72.258340115492402</v>
      </c>
      <c r="X149" s="223"/>
      <c r="Y149" s="280"/>
    </row>
    <row r="150" spans="13:25" hidden="1">
      <c r="M150" s="287">
        <f t="shared" si="34"/>
        <v>-4.8614668790590372</v>
      </c>
      <c r="N150" s="288">
        <f t="shared" si="42"/>
        <v>-4.8614668790590372</v>
      </c>
      <c r="O150" s="289">
        <f t="shared" si="35"/>
        <v>-8.4848603516233176E-2</v>
      </c>
      <c r="P150" s="219">
        <f t="shared" si="36"/>
        <v>66.970016694166489</v>
      </c>
      <c r="Q150" s="219">
        <f t="shared" si="37"/>
        <v>24.766025363450165</v>
      </c>
      <c r="R150" s="219">
        <f t="shared" si="43"/>
        <v>100.23740569069233</v>
      </c>
      <c r="S150" s="220">
        <f t="shared" si="44"/>
        <v>72.578338345395593</v>
      </c>
      <c r="T150" s="221">
        <f t="shared" si="38"/>
        <v>-66.970016694166489</v>
      </c>
      <c r="U150" s="222">
        <f t="shared" si="39"/>
        <v>-24.766025363450165</v>
      </c>
      <c r="V150" s="223">
        <f t="shared" si="40"/>
        <v>-100.23740569069233</v>
      </c>
      <c r="W150" s="223">
        <f t="shared" si="41"/>
        <v>-72.578338345395593</v>
      </c>
      <c r="X150" s="223"/>
      <c r="Y150" s="280"/>
    </row>
    <row r="151" spans="13:25" hidden="1">
      <c r="M151" s="287">
        <f t="shared" si="34"/>
        <v>-5.1549866461981688</v>
      </c>
      <c r="N151" s="288">
        <f t="shared" si="42"/>
        <v>-5.1549866461981688</v>
      </c>
      <c r="O151" s="289">
        <f t="shared" si="35"/>
        <v>-8.9971489872498076E-2</v>
      </c>
      <c r="P151" s="219">
        <f t="shared" si="36"/>
        <v>66.75321337205078</v>
      </c>
      <c r="Q151" s="219">
        <f t="shared" si="37"/>
        <v>24.982828685565856</v>
      </c>
      <c r="R151" s="219">
        <f t="shared" si="43"/>
        <v>99.903530705659307</v>
      </c>
      <c r="S151" s="220">
        <f t="shared" si="44"/>
        <v>72.912213330428614</v>
      </c>
      <c r="T151" s="221">
        <f t="shared" si="38"/>
        <v>-66.75321337205078</v>
      </c>
      <c r="U151" s="222">
        <f t="shared" si="39"/>
        <v>-24.982828685565856</v>
      </c>
      <c r="V151" s="223">
        <f t="shared" si="40"/>
        <v>-99.903530705659307</v>
      </c>
      <c r="W151" s="223">
        <f t="shared" si="41"/>
        <v>-72.912213330428614</v>
      </c>
      <c r="X151" s="223"/>
      <c r="Y151" s="280"/>
    </row>
    <row r="152" spans="13:25" hidden="1">
      <c r="M152" s="287">
        <f t="shared" si="34"/>
        <v>-5.4485064133373005</v>
      </c>
      <c r="N152" s="288">
        <f t="shared" si="42"/>
        <v>-5.4485064133373005</v>
      </c>
      <c r="O152" s="289">
        <f t="shared" si="35"/>
        <v>-9.5094376228762975E-2</v>
      </c>
      <c r="P152" s="219">
        <f t="shared" si="36"/>
        <v>66.53012221688401</v>
      </c>
      <c r="Q152" s="219">
        <f t="shared" si="37"/>
        <v>25.205919840732633</v>
      </c>
      <c r="R152" s="219">
        <f t="shared" si="43"/>
        <v>99.554703699566033</v>
      </c>
      <c r="S152" s="220">
        <f t="shared" si="44"/>
        <v>73.261040336521901</v>
      </c>
      <c r="T152" s="221">
        <f t="shared" si="38"/>
        <v>-66.53012221688401</v>
      </c>
      <c r="U152" s="222">
        <f t="shared" si="39"/>
        <v>-25.205919840732633</v>
      </c>
      <c r="V152" s="223">
        <f t="shared" si="40"/>
        <v>-99.554703699566033</v>
      </c>
      <c r="W152" s="223">
        <f t="shared" si="41"/>
        <v>-73.261040336521901</v>
      </c>
      <c r="X152" s="223"/>
      <c r="Y152" s="280"/>
    </row>
    <row r="153" spans="13:25" hidden="1">
      <c r="M153" s="287">
        <f t="shared" si="34"/>
        <v>-5.7420261804764321</v>
      </c>
      <c r="N153" s="288">
        <f t="shared" si="42"/>
        <v>-5.7420261804764321</v>
      </c>
      <c r="O153" s="289">
        <f t="shared" si="35"/>
        <v>-0.10021726258502789</v>
      </c>
      <c r="P153" s="219">
        <f t="shared" si="36"/>
        <v>66.300525233468761</v>
      </c>
      <c r="Q153" s="219">
        <f t="shared" si="37"/>
        <v>25.435516824147879</v>
      </c>
      <c r="R153" s="219">
        <f t="shared" si="43"/>
        <v>99.189681254602149</v>
      </c>
      <c r="S153" s="220">
        <f t="shared" si="44"/>
        <v>73.626062781485771</v>
      </c>
      <c r="T153" s="221">
        <f t="shared" si="38"/>
        <v>-66.300525233468761</v>
      </c>
      <c r="U153" s="222">
        <f t="shared" si="39"/>
        <v>-25.435516824147879</v>
      </c>
      <c r="V153" s="223">
        <f t="shared" si="40"/>
        <v>-99.189681254602149</v>
      </c>
      <c r="W153" s="223">
        <f t="shared" si="41"/>
        <v>-73.626062781485771</v>
      </c>
      <c r="X153" s="223"/>
      <c r="Y153" s="280"/>
    </row>
    <row r="154" spans="13:25" hidden="1">
      <c r="M154" s="287">
        <f t="shared" si="34"/>
        <v>-6.0355459476155637</v>
      </c>
      <c r="N154" s="288">
        <f t="shared" si="42"/>
        <v>-6.0355459476155637</v>
      </c>
      <c r="O154" s="289">
        <f t="shared" si="35"/>
        <v>-0.10534014894129279</v>
      </c>
      <c r="P154" s="219">
        <f t="shared" si="36"/>
        <v>66.064187912001486</v>
      </c>
      <c r="Q154" s="219">
        <f t="shared" si="37"/>
        <v>25.671854145615146</v>
      </c>
      <c r="R154" s="219">
        <f t="shared" si="43"/>
        <v>98.807012441455271</v>
      </c>
      <c r="S154" s="220">
        <f t="shared" si="44"/>
        <v>74.008731594632664</v>
      </c>
      <c r="T154" s="221">
        <f t="shared" si="38"/>
        <v>-66.064187912001486</v>
      </c>
      <c r="U154" s="222">
        <f t="shared" si="39"/>
        <v>-25.671854145615146</v>
      </c>
      <c r="V154" s="223">
        <f t="shared" si="40"/>
        <v>-98.807012441455271</v>
      </c>
      <c r="W154" s="223">
        <f t="shared" si="41"/>
        <v>-74.008731594632664</v>
      </c>
      <c r="X154" s="223"/>
      <c r="Y154" s="280"/>
    </row>
    <row r="155" spans="13:25" hidden="1">
      <c r="M155" s="287">
        <f t="shared" si="34"/>
        <v>-6.3290657147546954</v>
      </c>
      <c r="N155" s="288">
        <f t="shared" si="42"/>
        <v>-6.3290657147546954</v>
      </c>
      <c r="O155" s="289">
        <f t="shared" si="35"/>
        <v>-0.11046303529755769</v>
      </c>
      <c r="P155" s="219">
        <f t="shared" si="36"/>
        <v>65.820857495656981</v>
      </c>
      <c r="Q155" s="219">
        <f t="shared" si="37"/>
        <v>25.915184561959649</v>
      </c>
      <c r="R155" s="219">
        <f t="shared" si="43"/>
        <v>98.404986656476993</v>
      </c>
      <c r="S155" s="220">
        <f t="shared" si="44"/>
        <v>74.410757379610942</v>
      </c>
      <c r="T155" s="221">
        <f t="shared" si="38"/>
        <v>-65.820857495656981</v>
      </c>
      <c r="U155" s="222">
        <f t="shared" si="39"/>
        <v>-25.915184561959649</v>
      </c>
      <c r="V155" s="223">
        <f t="shared" si="40"/>
        <v>-98.404986656476993</v>
      </c>
      <c r="W155" s="223">
        <f t="shared" si="41"/>
        <v>-74.410757379610942</v>
      </c>
      <c r="X155" s="223"/>
      <c r="Y155" s="280"/>
    </row>
    <row r="156" spans="13:25" hidden="1">
      <c r="M156" s="287">
        <f t="shared" si="34"/>
        <v>-6.622585481893827</v>
      </c>
      <c r="N156" s="288">
        <f t="shared" si="42"/>
        <v>-6.622585481893827</v>
      </c>
      <c r="O156" s="289">
        <f t="shared" si="35"/>
        <v>-0.1155859216538226</v>
      </c>
      <c r="P156" s="219">
        <f t="shared" si="36"/>
        <v>65.5702610010716</v>
      </c>
      <c r="Q156" s="219">
        <f t="shared" si="37"/>
        <v>26.16578105654505</v>
      </c>
      <c r="R156" s="219">
        <f t="shared" si="43"/>
        <v>97.981563150213589</v>
      </c>
      <c r="S156" s="220">
        <f t="shared" si="44"/>
        <v>74.834180885874346</v>
      </c>
      <c r="T156" s="221">
        <f t="shared" si="38"/>
        <v>-65.5702610010716</v>
      </c>
      <c r="U156" s="222">
        <f t="shared" si="39"/>
        <v>-26.16578105654505</v>
      </c>
      <c r="V156" s="223">
        <f t="shared" si="40"/>
        <v>-97.981563150213589</v>
      </c>
      <c r="W156" s="223">
        <f t="shared" si="41"/>
        <v>-74.834180885874346</v>
      </c>
      <c r="X156" s="223"/>
      <c r="Y156" s="280"/>
    </row>
    <row r="157" spans="13:25" hidden="1">
      <c r="M157" s="287">
        <f t="shared" si="34"/>
        <v>-6.9161052490329586</v>
      </c>
      <c r="N157" s="288">
        <f t="shared" si="42"/>
        <v>-6.9161052490329586</v>
      </c>
      <c r="O157" s="289">
        <f t="shared" si="35"/>
        <v>-0.1207088080100875</v>
      </c>
      <c r="P157" s="219">
        <f t="shared" si="36"/>
        <v>65.312102947166508</v>
      </c>
      <c r="Q157" s="219">
        <f t="shared" si="37"/>
        <v>26.423939110450124</v>
      </c>
      <c r="R157" s="219">
        <f t="shared" si="43"/>
        <v>97.534273699196433</v>
      </c>
      <c r="S157" s="220">
        <f t="shared" si="44"/>
        <v>75.281470336891502</v>
      </c>
      <c r="T157" s="221">
        <f t="shared" si="38"/>
        <v>-65.312102947166508</v>
      </c>
      <c r="U157" s="222">
        <f t="shared" si="39"/>
        <v>-26.423939110450124</v>
      </c>
      <c r="V157" s="223">
        <f t="shared" si="40"/>
        <v>-97.534273699196433</v>
      </c>
      <c r="W157" s="223">
        <f t="shared" si="41"/>
        <v>-75.281470336891502</v>
      </c>
      <c r="X157" s="223"/>
      <c r="Y157" s="280"/>
    </row>
    <row r="158" spans="13:25" hidden="1">
      <c r="M158" s="287">
        <f t="shared" si="34"/>
        <v>-7.2096250161720903</v>
      </c>
      <c r="N158" s="288">
        <f t="shared" si="42"/>
        <v>-7.2096250161720903</v>
      </c>
      <c r="O158" s="289">
        <f t="shared" si="35"/>
        <v>-0.12583169436635241</v>
      </c>
      <c r="P158" s="219">
        <f t="shared" si="36"/>
        <v>65.046062737903569</v>
      </c>
      <c r="Q158" s="219">
        <f t="shared" si="37"/>
        <v>26.689979319713078</v>
      </c>
      <c r="R158" s="219">
        <f t="shared" si="43"/>
        <v>97.060084705188132</v>
      </c>
      <c r="S158" s="220">
        <f t="shared" si="44"/>
        <v>75.755659330899789</v>
      </c>
      <c r="T158" s="221">
        <f t="shared" si="38"/>
        <v>-65.046062737903569</v>
      </c>
      <c r="U158" s="222">
        <f t="shared" si="39"/>
        <v>-26.689979319713078</v>
      </c>
      <c r="V158" s="223">
        <f t="shared" si="40"/>
        <v>-97.060084705188132</v>
      </c>
      <c r="W158" s="223">
        <f t="shared" si="41"/>
        <v>-75.755659330899789</v>
      </c>
      <c r="X158" s="223"/>
      <c r="Y158" s="280"/>
    </row>
    <row r="159" spans="13:25" hidden="1">
      <c r="M159" s="287">
        <f t="shared" si="34"/>
        <v>-7.5031447833112219</v>
      </c>
      <c r="N159" s="288">
        <f t="shared" si="42"/>
        <v>-7.5031447833112219</v>
      </c>
      <c r="O159" s="289">
        <f t="shared" si="35"/>
        <v>-0.13095458072261731</v>
      </c>
      <c r="P159" s="219">
        <f t="shared" si="36"/>
        <v>64.771791632109924</v>
      </c>
      <c r="Q159" s="219">
        <f t="shared" si="37"/>
        <v>26.964250425506712</v>
      </c>
      <c r="R159" s="219">
        <f t="shared" si="43"/>
        <v>96.555195854948721</v>
      </c>
      <c r="S159" s="220">
        <f t="shared" si="44"/>
        <v>76.260548181139214</v>
      </c>
      <c r="T159" s="221">
        <f t="shared" si="38"/>
        <v>-64.771791632109924</v>
      </c>
      <c r="U159" s="222">
        <f t="shared" si="39"/>
        <v>-26.964250425506712</v>
      </c>
      <c r="V159" s="223">
        <f t="shared" si="40"/>
        <v>-96.555195854948721</v>
      </c>
      <c r="W159" s="223">
        <f t="shared" si="41"/>
        <v>-76.260548181139214</v>
      </c>
      <c r="X159" s="223"/>
      <c r="Y159" s="280"/>
    </row>
    <row r="160" spans="13:25" hidden="1">
      <c r="M160" s="287">
        <f t="shared" si="34"/>
        <v>-7.7966645504503536</v>
      </c>
      <c r="N160" s="288">
        <f t="shared" si="42"/>
        <v>-7.7966645504503536</v>
      </c>
      <c r="O160" s="289">
        <f t="shared" si="35"/>
        <v>-0.13607746707888221</v>
      </c>
      <c r="P160" s="219">
        <f t="shared" si="36"/>
        <v>64.488909217640497</v>
      </c>
      <c r="Q160" s="219">
        <f t="shared" si="37"/>
        <v>27.247132839976146</v>
      </c>
      <c r="R160" s="219">
        <f t="shared" si="43"/>
        <v>96.014735451504038</v>
      </c>
      <c r="S160" s="220">
        <f t="shared" si="44"/>
        <v>76.801008584583883</v>
      </c>
      <c r="T160" s="221">
        <f t="shared" si="38"/>
        <v>-64.488909217640497</v>
      </c>
      <c r="U160" s="222">
        <f t="shared" si="39"/>
        <v>-27.247132839976146</v>
      </c>
      <c r="V160" s="223">
        <f t="shared" si="40"/>
        <v>-96.014735451504038</v>
      </c>
      <c r="W160" s="223">
        <f t="shared" si="41"/>
        <v>-76.801008584583883</v>
      </c>
      <c r="X160" s="223"/>
      <c r="Y160" s="280"/>
    </row>
    <row r="161" spans="13:25" hidden="1">
      <c r="M161" s="287">
        <f t="shared" si="34"/>
        <v>-8.0901843175894843</v>
      </c>
      <c r="N161" s="288">
        <f t="shared" si="42"/>
        <v>-8.0901843175894843</v>
      </c>
      <c r="O161" s="289">
        <f t="shared" si="35"/>
        <v>-0.14120035343514711</v>
      </c>
      <c r="P161" s="219">
        <f t="shared" si="36"/>
        <v>64.196999286758469</v>
      </c>
      <c r="Q161" s="219">
        <f t="shared" si="37"/>
        <v>27.539042770858163</v>
      </c>
      <c r="R161" s="219">
        <f t="shared" si="43"/>
        <v>95.432278944898954</v>
      </c>
      <c r="S161" s="220">
        <f t="shared" si="44"/>
        <v>77.383465091188981</v>
      </c>
      <c r="T161" s="221">
        <f t="shared" si="38"/>
        <v>-64.196999286758469</v>
      </c>
      <c r="U161" s="222">
        <f t="shared" si="39"/>
        <v>-27.539042770858163</v>
      </c>
      <c r="V161" s="223">
        <f t="shared" si="40"/>
        <v>-95.432278944898954</v>
      </c>
      <c r="W161" s="223">
        <f t="shared" si="41"/>
        <v>-77.383465091188981</v>
      </c>
      <c r="X161" s="223"/>
      <c r="Y161" s="280"/>
    </row>
    <row r="162" spans="13:25" hidden="1">
      <c r="M162" s="287">
        <f t="shared" si="34"/>
        <v>-8.3837040847286151</v>
      </c>
      <c r="N162" s="288">
        <f t="shared" si="42"/>
        <v>-8.3837040847286151</v>
      </c>
      <c r="O162" s="289">
        <f t="shared" si="35"/>
        <v>-0.14632323979141199</v>
      </c>
      <c r="P162" s="219">
        <f t="shared" si="36"/>
        <v>63.895604983194275</v>
      </c>
      <c r="Q162" s="219">
        <f t="shared" si="37"/>
        <v>27.840437074422375</v>
      </c>
      <c r="R162" s="219">
        <f t="shared" si="43"/>
        <v>94.799045993306649</v>
      </c>
      <c r="S162" s="220">
        <f t="shared" si="44"/>
        <v>78.016698042781272</v>
      </c>
      <c r="T162" s="221">
        <f t="shared" si="38"/>
        <v>-63.895604983194275</v>
      </c>
      <c r="U162" s="222">
        <f t="shared" si="39"/>
        <v>-27.840437074422375</v>
      </c>
      <c r="V162" s="223">
        <f t="shared" si="40"/>
        <v>-94.799045993306649</v>
      </c>
      <c r="W162" s="223">
        <f t="shared" si="41"/>
        <v>-78.016698042781272</v>
      </c>
      <c r="X162" s="223"/>
      <c r="Y162" s="280"/>
    </row>
    <row r="163" spans="13:25" hidden="1">
      <c r="M163" s="287">
        <f t="shared" si="34"/>
        <v>-8.6772238518677458</v>
      </c>
      <c r="N163" s="288">
        <f t="shared" si="42"/>
        <v>-8.6772238518677458</v>
      </c>
      <c r="O163" s="289">
        <f t="shared" si="35"/>
        <v>-0.15144612614767688</v>
      </c>
      <c r="P163" s="219">
        <f t="shared" si="36"/>
        <v>63.584223056779535</v>
      </c>
      <c r="Q163" s="219">
        <f t="shared" si="37"/>
        <v>28.151819000837111</v>
      </c>
      <c r="R163" s="219">
        <f t="shared" si="43"/>
        <v>94.102466199121082</v>
      </c>
      <c r="S163" s="220">
        <f t="shared" si="44"/>
        <v>78.713277836966839</v>
      </c>
      <c r="T163" s="221">
        <f t="shared" si="38"/>
        <v>-63.584223056779535</v>
      </c>
      <c r="U163" s="222">
        <f t="shared" si="39"/>
        <v>-28.151819000837111</v>
      </c>
      <c r="V163" s="223">
        <f t="shared" si="40"/>
        <v>-94.102466199121082</v>
      </c>
      <c r="W163" s="223">
        <f t="shared" si="41"/>
        <v>-78.713277836966839</v>
      </c>
      <c r="X163" s="223"/>
      <c r="Y163" s="280"/>
    </row>
    <row r="164" spans="13:25" hidden="1">
      <c r="M164" s="287">
        <f t="shared" si="34"/>
        <v>-8.9707436190068766</v>
      </c>
      <c r="N164" s="288">
        <f t="shared" si="42"/>
        <v>-8.9707436190068766</v>
      </c>
      <c r="O164" s="289">
        <f t="shared" si="35"/>
        <v>-0.15656901250394176</v>
      </c>
      <c r="P164" s="219">
        <f t="shared" si="36"/>
        <v>63.262297015874182</v>
      </c>
      <c r="Q164" s="219">
        <f t="shared" si="37"/>
        <v>28.473745041742454</v>
      </c>
      <c r="R164" s="219">
        <f t="shared" si="43"/>
        <v>93.323372779533813</v>
      </c>
      <c r="S164" s="220">
        <f t="shared" si="44"/>
        <v>79.492371256554122</v>
      </c>
      <c r="T164" s="221">
        <f t="shared" si="38"/>
        <v>-63.262297015874182</v>
      </c>
      <c r="U164" s="222">
        <f t="shared" si="39"/>
        <v>-28.473745041742454</v>
      </c>
      <c r="V164" s="223">
        <f t="shared" si="40"/>
        <v>-93.323372779533813</v>
      </c>
      <c r="W164" s="223">
        <f t="shared" si="41"/>
        <v>-79.492371256554122</v>
      </c>
      <c r="X164" s="223"/>
      <c r="Y164" s="280"/>
    </row>
    <row r="165" spans="13:25" hidden="1">
      <c r="M165" s="287">
        <f t="shared" si="34"/>
        <v>-9.2642633861460073</v>
      </c>
      <c r="N165" s="288">
        <f t="shared" si="42"/>
        <v>-9.2642633861460073</v>
      </c>
      <c r="O165" s="289">
        <f t="shared" si="35"/>
        <v>-0.16169189886020666</v>
      </c>
      <c r="P165" s="219">
        <f t="shared" si="36"/>
        <v>62.929208906778861</v>
      </c>
      <c r="Q165" s="219">
        <f t="shared" si="37"/>
        <v>28.806833150837786</v>
      </c>
      <c r="R165" s="219">
        <f t="shared" si="43"/>
        <v>92.429764376726553</v>
      </c>
      <c r="S165" s="220">
        <f t="shared" si="44"/>
        <v>80.385979659361382</v>
      </c>
      <c r="T165" s="221">
        <f t="shared" si="38"/>
        <v>-62.929208906778861</v>
      </c>
      <c r="U165" s="222">
        <f t="shared" si="39"/>
        <v>-28.806833150837786</v>
      </c>
      <c r="V165" s="223">
        <f t="shared" si="40"/>
        <v>-92.429764376726553</v>
      </c>
      <c r="W165" s="223">
        <f t="shared" si="41"/>
        <v>-80.385979659361382</v>
      </c>
      <c r="X165" s="223"/>
      <c r="Y165" s="280"/>
    </row>
    <row r="166" spans="13:25" hidden="1">
      <c r="M166" s="287">
        <f t="shared" si="34"/>
        <v>-9.5577831532851381</v>
      </c>
      <c r="N166" s="288">
        <f t="shared" si="42"/>
        <v>-9.5577831532851381</v>
      </c>
      <c r="O166" s="289">
        <f t="shared" si="35"/>
        <v>-0.16681478521647156</v>
      </c>
      <c r="P166" s="219">
        <f t="shared" si="36"/>
        <v>62.584269366822539</v>
      </c>
      <c r="Q166" s="219">
        <f t="shared" si="37"/>
        <v>29.151772690794107</v>
      </c>
      <c r="R166" s="219">
        <f t="shared" si="43"/>
        <v>91.359956728650459</v>
      </c>
      <c r="S166" s="220">
        <f t="shared" si="44"/>
        <v>81.455787307437475</v>
      </c>
      <c r="T166" s="221">
        <f t="shared" si="38"/>
        <v>-62.584269366822539</v>
      </c>
      <c r="U166" s="222">
        <f t="shared" si="39"/>
        <v>-29.151772690794107</v>
      </c>
      <c r="V166" s="223">
        <f t="shared" si="40"/>
        <v>-91.359956728650459</v>
      </c>
      <c r="W166" s="223">
        <f t="shared" si="41"/>
        <v>-81.455787307437475</v>
      </c>
      <c r="X166" s="223"/>
      <c r="Y166" s="280"/>
    </row>
    <row r="167" spans="13:25" hidden="1">
      <c r="M167" s="287">
        <f t="shared" si="34"/>
        <v>-9.8513029204242688</v>
      </c>
      <c r="N167" s="288">
        <f t="shared" si="42"/>
        <v>-9.8513029204242688</v>
      </c>
      <c r="O167" s="289">
        <f t="shared" si="35"/>
        <v>-0.17193767157273643</v>
      </c>
      <c r="P167" s="219">
        <f t="shared" si="36"/>
        <v>62.226705484842299</v>
      </c>
      <c r="Q167" s="219">
        <f t="shared" si="37"/>
        <v>29.509336572774348</v>
      </c>
      <c r="R167" s="219">
        <f t="shared" si="43"/>
        <v>89.957977562301323</v>
      </c>
      <c r="S167" s="220">
        <f t="shared" si="44"/>
        <v>82.857766473786597</v>
      </c>
      <c r="T167" s="221">
        <f t="shared" si="38"/>
        <v>-62.226705484842299</v>
      </c>
      <c r="U167" s="222">
        <f t="shared" si="39"/>
        <v>-29.509336572774348</v>
      </c>
      <c r="V167" s="223">
        <f t="shared" si="40"/>
        <v>-89.957977562301323</v>
      </c>
      <c r="W167" s="223">
        <f t="shared" si="41"/>
        <v>-82.857766473786597</v>
      </c>
      <c r="X167" s="223"/>
      <c r="Y167" s="280"/>
    </row>
    <row r="168" spans="13:25" hidden="1">
      <c r="M168" s="287">
        <f t="shared" si="34"/>
        <v>-10.1448226875634</v>
      </c>
      <c r="N168" s="288">
        <f t="shared" si="42"/>
        <v>-10.1448226875634</v>
      </c>
      <c r="O168" s="289">
        <f t="shared" si="35"/>
        <v>-0.17706055792900133</v>
      </c>
      <c r="P168" s="219">
        <f t="shared" si="36"/>
        <v>61.855645845894216</v>
      </c>
      <c r="Q168" s="219">
        <f t="shared" si="37"/>
        <v>29.88039621172242</v>
      </c>
      <c r="R168" s="219">
        <f t="shared" ref="R168:R193" si="45">IFERROR(DEGREES(grt_+ACOS((SIN(h_)-SIN(d_)*SIN(O168))/COS(d_)/COS(O168))),#N/A)</f>
        <v>87.116898375179559</v>
      </c>
      <c r="S168" s="220">
        <f t="shared" ref="S168:S193" si="46">IFERROR(DEGREES(grt_-ACOS((SIN(h_)-SIN(d_)*SIN(O168))/COS(d_)/COS(O168))),#N/A)</f>
        <v>85.698845660908376</v>
      </c>
      <c r="T168" s="221">
        <f t="shared" si="38"/>
        <v>-61.855645845894216</v>
      </c>
      <c r="U168" s="222">
        <f t="shared" si="39"/>
        <v>-29.88039621172242</v>
      </c>
      <c r="V168" s="223">
        <f t="shared" si="40"/>
        <v>-87.116898375179559</v>
      </c>
      <c r="W168" s="223">
        <f t="shared" si="41"/>
        <v>-85.698845660908376</v>
      </c>
      <c r="X168" s="223"/>
      <c r="Y168" s="280"/>
    </row>
    <row r="169" spans="13:25" hidden="1">
      <c r="M169" s="287">
        <f t="shared" si="34"/>
        <v>-10.43834245470253</v>
      </c>
      <c r="N169" s="288">
        <f t="shared" si="42"/>
        <v>-10.43834245470253</v>
      </c>
      <c r="O169" s="289">
        <f t="shared" si="35"/>
        <v>-0.1821834442852662</v>
      </c>
      <c r="P169" s="219">
        <f t="shared" si="36"/>
        <v>61.470101915842285</v>
      </c>
      <c r="Q169" s="219">
        <f t="shared" si="37"/>
        <v>30.265940141774365</v>
      </c>
      <c r="R169" s="219" t="e">
        <f t="shared" si="45"/>
        <v>#N/A</v>
      </c>
      <c r="S169" s="220" t="e">
        <f t="shared" si="46"/>
        <v>#N/A</v>
      </c>
      <c r="T169" s="221">
        <f t="shared" si="38"/>
        <v>-61.470101915842285</v>
      </c>
      <c r="U169" s="222">
        <f t="shared" si="39"/>
        <v>-30.265940141774365</v>
      </c>
      <c r="V169" s="223" t="e">
        <f t="shared" si="40"/>
        <v>#N/A</v>
      </c>
      <c r="W169" s="223" t="e">
        <f t="shared" si="41"/>
        <v>#N/A</v>
      </c>
      <c r="X169" s="223"/>
      <c r="Y169" s="280"/>
    </row>
    <row r="170" spans="13:25" hidden="1">
      <c r="M170" s="287">
        <f t="shared" si="34"/>
        <v>-10.731862221841661</v>
      </c>
      <c r="N170" s="288">
        <f t="shared" si="42"/>
        <v>-10.731862221841661</v>
      </c>
      <c r="O170" s="289">
        <f t="shared" si="35"/>
        <v>-0.1873063306415311</v>
      </c>
      <c r="P170" s="219">
        <f t="shared" si="36"/>
        <v>61.068944604305251</v>
      </c>
      <c r="Q170" s="219">
        <f t="shared" si="37"/>
        <v>30.667097453311396</v>
      </c>
      <c r="R170" s="219" t="e">
        <f t="shared" si="45"/>
        <v>#N/A</v>
      </c>
      <c r="S170" s="220" t="e">
        <f t="shared" si="46"/>
        <v>#N/A</v>
      </c>
      <c r="T170" s="221">
        <f t="shared" si="38"/>
        <v>-61.068944604305251</v>
      </c>
      <c r="U170" s="222">
        <f t="shared" si="39"/>
        <v>-30.667097453311396</v>
      </c>
      <c r="V170" s="223" t="e">
        <f t="shared" si="40"/>
        <v>#N/A</v>
      </c>
      <c r="W170" s="223" t="e">
        <f t="shared" si="41"/>
        <v>#N/A</v>
      </c>
      <c r="X170" s="223"/>
      <c r="Y170" s="280"/>
    </row>
    <row r="171" spans="13:25" hidden="1">
      <c r="M171" s="287">
        <f t="shared" si="34"/>
        <v>-11.025381988980792</v>
      </c>
      <c r="N171" s="288">
        <f t="shared" si="42"/>
        <v>-11.025381988980792</v>
      </c>
      <c r="O171" s="289">
        <f t="shared" si="35"/>
        <v>-0.192429216997796</v>
      </c>
      <c r="P171" s="219">
        <f t="shared" si="36"/>
        <v>60.650874381166616</v>
      </c>
      <c r="Q171" s="219">
        <f t="shared" si="37"/>
        <v>31.08516767645003</v>
      </c>
      <c r="R171" s="219" t="e">
        <f t="shared" si="45"/>
        <v>#N/A</v>
      </c>
      <c r="S171" s="220" t="e">
        <f t="shared" si="46"/>
        <v>#N/A</v>
      </c>
      <c r="T171" s="221">
        <f t="shared" si="38"/>
        <v>-60.650874381166616</v>
      </c>
      <c r="U171" s="222">
        <f t="shared" si="39"/>
        <v>-31.08516767645003</v>
      </c>
      <c r="V171" s="223" t="e">
        <f t="shared" si="40"/>
        <v>#N/A</v>
      </c>
      <c r="W171" s="223" t="e">
        <f t="shared" si="41"/>
        <v>#N/A</v>
      </c>
      <c r="X171" s="223"/>
      <c r="Y171" s="280"/>
    </row>
    <row r="172" spans="13:25" hidden="1">
      <c r="M172" s="287">
        <f t="shared" si="34"/>
        <v>-11.318901756119923</v>
      </c>
      <c r="N172" s="288">
        <f t="shared" si="42"/>
        <v>-11.318901756119923</v>
      </c>
      <c r="O172" s="289">
        <f t="shared" si="35"/>
        <v>-0.19755210335406087</v>
      </c>
      <c r="P172" s="219">
        <f t="shared" si="36"/>
        <v>60.214382631073263</v>
      </c>
      <c r="Q172" s="219">
        <f t="shared" si="37"/>
        <v>31.521659426543387</v>
      </c>
      <c r="R172" s="219" t="e">
        <f t="shared" si="45"/>
        <v>#N/A</v>
      </c>
      <c r="S172" s="220" t="e">
        <f t="shared" si="46"/>
        <v>#N/A</v>
      </c>
      <c r="T172" s="221">
        <f t="shared" si="38"/>
        <v>-60.214382631073263</v>
      </c>
      <c r="U172" s="222">
        <f t="shared" si="39"/>
        <v>-31.521659426543387</v>
      </c>
      <c r="V172" s="223" t="e">
        <f t="shared" si="40"/>
        <v>#N/A</v>
      </c>
      <c r="W172" s="223" t="e">
        <f t="shared" si="41"/>
        <v>#N/A</v>
      </c>
      <c r="X172" s="223"/>
      <c r="Y172" s="280"/>
    </row>
    <row r="173" spans="13:25" hidden="1">
      <c r="M173" s="287">
        <f t="shared" si="34"/>
        <v>-11.612421523259053</v>
      </c>
      <c r="N173" s="288">
        <f t="shared" si="42"/>
        <v>-11.612421523259053</v>
      </c>
      <c r="O173" s="289">
        <f t="shared" si="35"/>
        <v>-0.20267498971032577</v>
      </c>
      <c r="P173" s="219">
        <f t="shared" si="36"/>
        <v>59.757700876422035</v>
      </c>
      <c r="Q173" s="219">
        <f t="shared" si="37"/>
        <v>31.978341181194605</v>
      </c>
      <c r="R173" s="219" t="e">
        <f t="shared" si="45"/>
        <v>#N/A</v>
      </c>
      <c r="S173" s="220" t="e">
        <f t="shared" si="46"/>
        <v>#N/A</v>
      </c>
      <c r="T173" s="221">
        <f t="shared" si="38"/>
        <v>-59.757700876422035</v>
      </c>
      <c r="U173" s="222">
        <f t="shared" si="39"/>
        <v>-31.978341181194605</v>
      </c>
      <c r="V173" s="223" t="e">
        <f t="shared" si="40"/>
        <v>#N/A</v>
      </c>
      <c r="W173" s="223" t="e">
        <f t="shared" si="41"/>
        <v>#N/A</v>
      </c>
      <c r="X173" s="223"/>
      <c r="Y173" s="280"/>
    </row>
    <row r="174" spans="13:25" hidden="1">
      <c r="M174" s="287">
        <f t="shared" si="34"/>
        <v>-11.905941290398184</v>
      </c>
      <c r="N174" s="288">
        <f t="shared" si="42"/>
        <v>-11.905941290398184</v>
      </c>
      <c r="O174" s="289">
        <f t="shared" si="35"/>
        <v>-0.20779787606659064</v>
      </c>
      <c r="P174" s="219">
        <f t="shared" si="36"/>
        <v>59.278732849253267</v>
      </c>
      <c r="Q174" s="219">
        <f t="shared" si="37"/>
        <v>32.457309208363384</v>
      </c>
      <c r="R174" s="219" t="e">
        <f t="shared" si="45"/>
        <v>#N/A</v>
      </c>
      <c r="S174" s="220" t="e">
        <f t="shared" si="46"/>
        <v>#N/A</v>
      </c>
      <c r="T174" s="221">
        <f t="shared" si="38"/>
        <v>-59.278732849253267</v>
      </c>
      <c r="U174" s="222">
        <f t="shared" si="39"/>
        <v>-32.457309208363384</v>
      </c>
      <c r="V174" s="223" t="e">
        <f t="shared" si="40"/>
        <v>#N/A</v>
      </c>
      <c r="W174" s="223" t="e">
        <f t="shared" si="41"/>
        <v>#N/A</v>
      </c>
      <c r="X174" s="223"/>
      <c r="Y174" s="280"/>
    </row>
    <row r="175" spans="13:25" hidden="1">
      <c r="M175" s="287">
        <f t="shared" si="34"/>
        <v>-12.199461057537315</v>
      </c>
      <c r="N175" s="288">
        <f t="shared" si="42"/>
        <v>-12.199461057537315</v>
      </c>
      <c r="O175" s="289">
        <f t="shared" si="35"/>
        <v>-0.21292076242285554</v>
      </c>
      <c r="P175" s="219">
        <f t="shared" si="36"/>
        <v>58.77496173228954</v>
      </c>
      <c r="Q175" s="219">
        <f t="shared" si="37"/>
        <v>32.96108032532711</v>
      </c>
      <c r="R175" s="219" t="e">
        <f t="shared" si="45"/>
        <v>#N/A</v>
      </c>
      <c r="S175" s="220" t="e">
        <f t="shared" si="46"/>
        <v>#N/A</v>
      </c>
      <c r="T175" s="221">
        <f t="shared" si="38"/>
        <v>-58.77496173228954</v>
      </c>
      <c r="U175" s="222">
        <f t="shared" si="39"/>
        <v>-32.96108032532711</v>
      </c>
      <c r="V175" s="223" t="e">
        <f t="shared" si="40"/>
        <v>#N/A</v>
      </c>
      <c r="W175" s="223" t="e">
        <f t="shared" si="41"/>
        <v>#N/A</v>
      </c>
      <c r="X175" s="223"/>
      <c r="Y175" s="280"/>
    </row>
    <row r="176" spans="13:25" hidden="1">
      <c r="M176" s="287">
        <f t="shared" si="34"/>
        <v>-12.492980824676446</v>
      </c>
      <c r="N176" s="288">
        <f t="shared" si="42"/>
        <v>-12.492980824676446</v>
      </c>
      <c r="O176" s="289">
        <f t="shared" si="35"/>
        <v>-0.21804364877912044</v>
      </c>
      <c r="P176" s="219">
        <f t="shared" si="36"/>
        <v>58.24332045479381</v>
      </c>
      <c r="Q176" s="219">
        <f t="shared" si="37"/>
        <v>33.49272160282284</v>
      </c>
      <c r="R176" s="219" t="e">
        <f t="shared" si="45"/>
        <v>#N/A</v>
      </c>
      <c r="S176" s="220" t="e">
        <f t="shared" si="46"/>
        <v>#N/A</v>
      </c>
      <c r="T176" s="221">
        <f t="shared" si="38"/>
        <v>-58.24332045479381</v>
      </c>
      <c r="U176" s="222">
        <f t="shared" si="39"/>
        <v>-33.49272160282284</v>
      </c>
      <c r="V176" s="223" t="e">
        <f t="shared" si="40"/>
        <v>#N/A</v>
      </c>
      <c r="W176" s="223" t="e">
        <f t="shared" si="41"/>
        <v>#N/A</v>
      </c>
      <c r="X176" s="223"/>
      <c r="Y176" s="280"/>
    </row>
    <row r="177" spans="12:25" hidden="1">
      <c r="M177" s="287">
        <f t="shared" ref="M177:M193" si="47">IF(N177&gt;maxn,maxn,IF(N177&lt;mins,mins,N177))</f>
        <v>-12.786500591815576</v>
      </c>
      <c r="N177" s="288">
        <f t="shared" si="42"/>
        <v>-12.786500591815576</v>
      </c>
      <c r="O177" s="289">
        <f t="shared" ref="O177:O193" si="48">RADIANS(M177)</f>
        <v>-0.22316653513538531</v>
      </c>
      <c r="P177" s="219">
        <f t="shared" ref="P177:P193" si="49">IFERROR(DEGREES(grt+ACOS((SIN(h)-SIN(d)*SIN(O177))/COS(d)/COS(O177))),#N/A)</f>
        <v>57.68000524504901</v>
      </c>
      <c r="Q177" s="219">
        <f t="shared" ref="Q177:Q193" si="50">IFERROR(DEGREES(grt-ACOS((SIN(h)-SIN(d)*SIN(O177))/COS(d)/COS(O177))),#N/A)</f>
        <v>34.05603681256764</v>
      </c>
      <c r="R177" s="219" t="e">
        <f t="shared" si="45"/>
        <v>#N/A</v>
      </c>
      <c r="S177" s="220" t="e">
        <f t="shared" si="46"/>
        <v>#N/A</v>
      </c>
      <c r="T177" s="221">
        <f t="shared" ref="T177:T193" si="51">IF(P177&lt;0,ABS(P177),IF(P177&gt;360,-(P177-360),IF(AND(P177&gt;180,P177&lt;360),ABS(360-P177),-P177)))</f>
        <v>-57.68000524504901</v>
      </c>
      <c r="U177" s="222">
        <f t="shared" ref="U177:U193" si="52">IF(Q177&lt;0,ABS(Q177),IF(Q177&gt;360,Q177-(Q177-360),IF(AND(Q177&gt;180,Q177&lt;360),ABS(360-Q177),-Q177)))</f>
        <v>-34.05603681256764</v>
      </c>
      <c r="V177" s="223" t="e">
        <f t="shared" ref="V177:V193" si="53">IF(R177&lt;0,ABS(R177),IF(R177&gt;360,-(R177-360),IF(AND(R177&gt;180,R177&lt;360),ABS(360-R177),-R177)))</f>
        <v>#N/A</v>
      </c>
      <c r="W177" s="223" t="e">
        <f t="shared" ref="W177:W193" si="54">IF(S177&lt;0,ABS(S177),IF(S177&gt;360,-(S177-360),IF(AND(S177&gt;180,S177&lt;360),ABS(360-S177),-S177)))</f>
        <v>#N/A</v>
      </c>
      <c r="X177" s="223"/>
      <c r="Y177" s="280"/>
    </row>
    <row r="178" spans="12:25" hidden="1">
      <c r="M178" s="287">
        <f t="shared" si="47"/>
        <v>-13.080020358954707</v>
      </c>
      <c r="N178" s="288">
        <f t="shared" si="42"/>
        <v>-13.080020358954707</v>
      </c>
      <c r="O178" s="289">
        <f t="shared" si="48"/>
        <v>-0.22828942149165021</v>
      </c>
      <c r="P178" s="219">
        <f t="shared" si="49"/>
        <v>57.080198711569572</v>
      </c>
      <c r="Q178" s="219">
        <f t="shared" si="50"/>
        <v>34.655843346047071</v>
      </c>
      <c r="R178" s="219" t="e">
        <f t="shared" si="45"/>
        <v>#N/A</v>
      </c>
      <c r="S178" s="220" t="e">
        <f t="shared" si="46"/>
        <v>#N/A</v>
      </c>
      <c r="T178" s="221">
        <f t="shared" si="51"/>
        <v>-57.080198711569572</v>
      </c>
      <c r="U178" s="222">
        <f t="shared" si="52"/>
        <v>-34.655843346047071</v>
      </c>
      <c r="V178" s="223" t="e">
        <f t="shared" si="53"/>
        <v>#N/A</v>
      </c>
      <c r="W178" s="223" t="e">
        <f t="shared" si="54"/>
        <v>#N/A</v>
      </c>
      <c r="X178" s="223"/>
      <c r="Y178" s="280"/>
    </row>
    <row r="179" spans="12:25" hidden="1">
      <c r="M179" s="287">
        <f t="shared" si="47"/>
        <v>-13.373540126093838</v>
      </c>
      <c r="N179" s="288">
        <f t="shared" si="42"/>
        <v>-13.373540126093838</v>
      </c>
      <c r="O179" s="289">
        <f t="shared" si="48"/>
        <v>-0.23341230784791508</v>
      </c>
      <c r="P179" s="219">
        <f t="shared" si="49"/>
        <v>56.437642080954326</v>
      </c>
      <c r="Q179" s="219">
        <f t="shared" si="50"/>
        <v>35.298399976662317</v>
      </c>
      <c r="R179" s="219" t="e">
        <f t="shared" si="45"/>
        <v>#N/A</v>
      </c>
      <c r="S179" s="220" t="e">
        <f t="shared" si="46"/>
        <v>#N/A</v>
      </c>
      <c r="T179" s="221">
        <f t="shared" si="51"/>
        <v>-56.437642080954326</v>
      </c>
      <c r="U179" s="222">
        <f t="shared" si="52"/>
        <v>-35.298399976662317</v>
      </c>
      <c r="V179" s="223" t="e">
        <f t="shared" si="53"/>
        <v>#N/A</v>
      </c>
      <c r="W179" s="223" t="e">
        <f t="shared" si="54"/>
        <v>#N/A</v>
      </c>
      <c r="X179" s="223"/>
      <c r="Y179" s="280"/>
    </row>
    <row r="180" spans="12:25" hidden="1">
      <c r="M180" s="287">
        <f t="shared" si="47"/>
        <v>-13.667059893232969</v>
      </c>
      <c r="N180" s="288">
        <f t="shared" si="42"/>
        <v>-13.667059893232969</v>
      </c>
      <c r="O180" s="289">
        <f t="shared" si="48"/>
        <v>-0.23853519420417998</v>
      </c>
      <c r="P180" s="219">
        <f t="shared" si="49"/>
        <v>55.743941842674182</v>
      </c>
      <c r="Q180" s="219">
        <f t="shared" si="50"/>
        <v>35.992100214942461</v>
      </c>
      <c r="R180" s="219" t="e">
        <f t="shared" si="45"/>
        <v>#N/A</v>
      </c>
      <c r="S180" s="220" t="e">
        <f t="shared" si="46"/>
        <v>#N/A</v>
      </c>
      <c r="T180" s="221">
        <f t="shared" si="51"/>
        <v>-55.743941842674182</v>
      </c>
      <c r="U180" s="222">
        <f t="shared" si="52"/>
        <v>-35.992100214942461</v>
      </c>
      <c r="V180" s="223" t="e">
        <f t="shared" si="53"/>
        <v>#N/A</v>
      </c>
      <c r="W180" s="223" t="e">
        <f t="shared" si="54"/>
        <v>#N/A</v>
      </c>
      <c r="X180" s="223"/>
      <c r="Y180" s="280"/>
    </row>
    <row r="181" spans="12:25" hidden="1">
      <c r="M181" s="287">
        <f t="shared" si="47"/>
        <v>-13.960579660372099</v>
      </c>
      <c r="N181" s="288">
        <f t="shared" si="42"/>
        <v>-13.960579660372099</v>
      </c>
      <c r="O181" s="289">
        <f t="shared" si="48"/>
        <v>-0.24365808056044488</v>
      </c>
      <c r="P181" s="219">
        <f t="shared" si="49"/>
        <v>54.987375810393473</v>
      </c>
      <c r="Q181" s="219">
        <f t="shared" si="50"/>
        <v>36.74866624722317</v>
      </c>
      <c r="R181" s="219" t="e">
        <f t="shared" si="45"/>
        <v>#N/A</v>
      </c>
      <c r="S181" s="220" t="e">
        <f t="shared" si="46"/>
        <v>#N/A</v>
      </c>
      <c r="T181" s="221">
        <f t="shared" si="51"/>
        <v>-54.987375810393473</v>
      </c>
      <c r="U181" s="222">
        <f t="shared" si="52"/>
        <v>-36.74866624722317</v>
      </c>
      <c r="V181" s="223" t="e">
        <f t="shared" si="53"/>
        <v>#N/A</v>
      </c>
      <c r="W181" s="223" t="e">
        <f t="shared" si="54"/>
        <v>#N/A</v>
      </c>
      <c r="X181" s="223"/>
      <c r="Y181" s="280"/>
    </row>
    <row r="182" spans="12:25" hidden="1">
      <c r="M182" s="287">
        <f t="shared" si="47"/>
        <v>-14.25409942751123</v>
      </c>
      <c r="N182" s="288">
        <f t="shared" si="42"/>
        <v>-14.25409942751123</v>
      </c>
      <c r="O182" s="289">
        <f t="shared" si="48"/>
        <v>-0.24878096691670976</v>
      </c>
      <c r="P182" s="219">
        <f t="shared" si="49"/>
        <v>54.15066913785742</v>
      </c>
      <c r="Q182" s="219">
        <f t="shared" si="50"/>
        <v>37.585372919759216</v>
      </c>
      <c r="R182" s="219" t="e">
        <f t="shared" si="45"/>
        <v>#N/A</v>
      </c>
      <c r="S182" s="220" t="e">
        <f t="shared" si="46"/>
        <v>#N/A</v>
      </c>
      <c r="T182" s="221">
        <f t="shared" si="51"/>
        <v>-54.15066913785742</v>
      </c>
      <c r="U182" s="222">
        <f t="shared" si="52"/>
        <v>-37.585372919759216</v>
      </c>
      <c r="V182" s="223" t="e">
        <f t="shared" si="53"/>
        <v>#N/A</v>
      </c>
      <c r="W182" s="223" t="e">
        <f t="shared" si="54"/>
        <v>#N/A</v>
      </c>
      <c r="X182" s="223"/>
      <c r="Y182" s="280"/>
    </row>
    <row r="183" spans="12:25" hidden="1">
      <c r="M183" s="287">
        <f t="shared" si="47"/>
        <v>-14.547619194650361</v>
      </c>
      <c r="N183" s="288">
        <f t="shared" si="42"/>
        <v>-14.547619194650361</v>
      </c>
      <c r="O183" s="289">
        <f t="shared" si="48"/>
        <v>-0.25390385327297466</v>
      </c>
      <c r="P183" s="219">
        <f t="shared" si="49"/>
        <v>53.206384848860189</v>
      </c>
      <c r="Q183" s="219">
        <f t="shared" si="50"/>
        <v>38.529657208756454</v>
      </c>
      <c r="R183" s="219" t="e">
        <f t="shared" si="45"/>
        <v>#N/A</v>
      </c>
      <c r="S183" s="220" t="e">
        <f t="shared" si="46"/>
        <v>#N/A</v>
      </c>
      <c r="T183" s="221">
        <f t="shared" si="51"/>
        <v>-53.206384848860189</v>
      </c>
      <c r="U183" s="222">
        <f t="shared" si="52"/>
        <v>-38.529657208756454</v>
      </c>
      <c r="V183" s="223" t="e">
        <f t="shared" si="53"/>
        <v>#N/A</v>
      </c>
      <c r="W183" s="223" t="e">
        <f t="shared" si="54"/>
        <v>#N/A</v>
      </c>
      <c r="X183" s="223"/>
      <c r="Y183" s="280"/>
    </row>
    <row r="184" spans="12:25" hidden="1">
      <c r="M184" s="287">
        <f t="shared" si="47"/>
        <v>-14.841138961789492</v>
      </c>
      <c r="N184" s="288">
        <f t="shared" si="42"/>
        <v>-14.841138961789492</v>
      </c>
      <c r="O184" s="289">
        <f t="shared" si="48"/>
        <v>-0.25902673962923956</v>
      </c>
      <c r="P184" s="219">
        <f t="shared" si="49"/>
        <v>52.105766326413978</v>
      </c>
      <c r="Q184" s="219">
        <f t="shared" si="50"/>
        <v>39.630275731202666</v>
      </c>
      <c r="R184" s="219" t="e">
        <f t="shared" si="45"/>
        <v>#N/A</v>
      </c>
      <c r="S184" s="220" t="e">
        <f t="shared" si="46"/>
        <v>#N/A</v>
      </c>
      <c r="T184" s="221">
        <f t="shared" si="51"/>
        <v>-52.105766326413978</v>
      </c>
      <c r="U184" s="222">
        <f t="shared" si="52"/>
        <v>-39.630275731202666</v>
      </c>
      <c r="V184" s="223" t="e">
        <f t="shared" si="53"/>
        <v>#N/A</v>
      </c>
      <c r="W184" s="223" t="e">
        <f t="shared" si="54"/>
        <v>#N/A</v>
      </c>
      <c r="X184" s="223"/>
      <c r="Y184" s="280"/>
    </row>
    <row r="185" spans="12:25" hidden="1">
      <c r="M185" s="287">
        <f t="shared" si="47"/>
        <v>-15.134658728928622</v>
      </c>
      <c r="N185" s="288">
        <f t="shared" si="42"/>
        <v>-15.134658728928622</v>
      </c>
      <c r="O185" s="289">
        <f t="shared" si="48"/>
        <v>-0.26414962598550445</v>
      </c>
      <c r="P185" s="219">
        <f t="shared" si="49"/>
        <v>50.743956515652172</v>
      </c>
      <c r="Q185" s="219">
        <f t="shared" si="50"/>
        <v>40.992085541964471</v>
      </c>
      <c r="R185" s="219" t="e">
        <f t="shared" si="45"/>
        <v>#N/A</v>
      </c>
      <c r="S185" s="220" t="e">
        <f t="shared" si="46"/>
        <v>#N/A</v>
      </c>
      <c r="T185" s="221">
        <f t="shared" si="51"/>
        <v>-50.743956515652172</v>
      </c>
      <c r="U185" s="222">
        <f t="shared" si="52"/>
        <v>-40.992085541964471</v>
      </c>
      <c r="V185" s="223" t="e">
        <f t="shared" si="53"/>
        <v>#N/A</v>
      </c>
      <c r="W185" s="223" t="e">
        <f t="shared" si="54"/>
        <v>#N/A</v>
      </c>
      <c r="X185" s="223"/>
      <c r="Y185" s="280"/>
    </row>
    <row r="186" spans="12:25" hidden="1">
      <c r="M186" s="287">
        <f t="shared" si="47"/>
        <v>-15.428178496067753</v>
      </c>
      <c r="N186" s="288">
        <f t="shared" si="42"/>
        <v>-15.428178496067753</v>
      </c>
      <c r="O186" s="289">
        <f t="shared" si="48"/>
        <v>-0.2692725123417693</v>
      </c>
      <c r="P186" s="219">
        <f t="shared" si="49"/>
        <v>48.774262375029899</v>
      </c>
      <c r="Q186" s="219">
        <f t="shared" si="50"/>
        <v>42.961779682586744</v>
      </c>
      <c r="R186" s="219" t="e">
        <f t="shared" si="45"/>
        <v>#N/A</v>
      </c>
      <c r="S186" s="220" t="e">
        <f t="shared" si="46"/>
        <v>#N/A</v>
      </c>
      <c r="T186" s="221">
        <f t="shared" si="51"/>
        <v>-48.774262375029899</v>
      </c>
      <c r="U186" s="222">
        <f t="shared" si="52"/>
        <v>-42.961779682586744</v>
      </c>
      <c r="V186" s="223" t="e">
        <f t="shared" si="53"/>
        <v>#N/A</v>
      </c>
      <c r="W186" s="223" t="e">
        <f t="shared" si="54"/>
        <v>#N/A</v>
      </c>
      <c r="X186" s="223"/>
      <c r="Y186" s="280"/>
    </row>
    <row r="187" spans="12:25" hidden="1">
      <c r="M187" s="287">
        <f t="shared" si="47"/>
        <v>-15.578339197041794</v>
      </c>
      <c r="N187" s="288">
        <f t="shared" si="42"/>
        <v>-15.721698263206884</v>
      </c>
      <c r="O187" s="289">
        <f t="shared" si="48"/>
        <v>-0.271893310980869</v>
      </c>
      <c r="P187" s="219">
        <f t="shared" si="49"/>
        <v>46.595388454093026</v>
      </c>
      <c r="Q187" s="219">
        <f t="shared" si="50"/>
        <v>45.140653603523617</v>
      </c>
      <c r="R187" s="219" t="e">
        <f t="shared" si="45"/>
        <v>#N/A</v>
      </c>
      <c r="S187" s="220" t="e">
        <f t="shared" si="46"/>
        <v>#N/A</v>
      </c>
      <c r="T187" s="221">
        <f t="shared" si="51"/>
        <v>-46.595388454093026</v>
      </c>
      <c r="U187" s="222">
        <f t="shared" si="52"/>
        <v>-45.140653603523617</v>
      </c>
      <c r="V187" s="223" t="e">
        <f t="shared" si="53"/>
        <v>#N/A</v>
      </c>
      <c r="W187" s="223" t="e">
        <f t="shared" si="54"/>
        <v>#N/A</v>
      </c>
      <c r="X187" s="223"/>
      <c r="Y187" s="280"/>
    </row>
    <row r="188" spans="12:25" hidden="1">
      <c r="M188" s="287">
        <f t="shared" si="47"/>
        <v>-15.578339197041794</v>
      </c>
      <c r="N188" s="288">
        <f t="shared" si="42"/>
        <v>-16.015218030346016</v>
      </c>
      <c r="O188" s="289">
        <f t="shared" si="48"/>
        <v>-0.271893310980869</v>
      </c>
      <c r="P188" s="219">
        <f t="shared" si="49"/>
        <v>46.595388454093026</v>
      </c>
      <c r="Q188" s="219">
        <f t="shared" si="50"/>
        <v>45.140653603523617</v>
      </c>
      <c r="R188" s="219" t="e">
        <f t="shared" si="45"/>
        <v>#N/A</v>
      </c>
      <c r="S188" s="220" t="e">
        <f t="shared" si="46"/>
        <v>#N/A</v>
      </c>
      <c r="T188" s="221">
        <f t="shared" si="51"/>
        <v>-46.595388454093026</v>
      </c>
      <c r="U188" s="222">
        <f t="shared" si="52"/>
        <v>-45.140653603523617</v>
      </c>
      <c r="V188" s="223" t="e">
        <f t="shared" si="53"/>
        <v>#N/A</v>
      </c>
      <c r="W188" s="223" t="e">
        <f t="shared" si="54"/>
        <v>#N/A</v>
      </c>
      <c r="X188" s="223"/>
      <c r="Y188" s="280"/>
    </row>
    <row r="189" spans="12:25" hidden="1">
      <c r="M189" s="287">
        <f t="shared" si="47"/>
        <v>-15.578339197041794</v>
      </c>
      <c r="N189" s="288">
        <f t="shared" si="42"/>
        <v>-16.308737797485147</v>
      </c>
      <c r="O189" s="289">
        <f t="shared" si="48"/>
        <v>-0.271893310980869</v>
      </c>
      <c r="P189" s="219">
        <f t="shared" si="49"/>
        <v>46.595388454093026</v>
      </c>
      <c r="Q189" s="219">
        <f t="shared" si="50"/>
        <v>45.140653603523617</v>
      </c>
      <c r="R189" s="219" t="e">
        <f t="shared" si="45"/>
        <v>#N/A</v>
      </c>
      <c r="S189" s="220" t="e">
        <f t="shared" si="46"/>
        <v>#N/A</v>
      </c>
      <c r="T189" s="221">
        <f t="shared" si="51"/>
        <v>-46.595388454093026</v>
      </c>
      <c r="U189" s="222">
        <f t="shared" si="52"/>
        <v>-45.140653603523617</v>
      </c>
      <c r="V189" s="223" t="e">
        <f t="shared" si="53"/>
        <v>#N/A</v>
      </c>
      <c r="W189" s="223" t="e">
        <f t="shared" si="54"/>
        <v>#N/A</v>
      </c>
      <c r="X189" s="223"/>
      <c r="Y189" s="280"/>
    </row>
    <row r="190" spans="12:25">
      <c r="M190" s="287">
        <f t="shared" si="47"/>
        <v>-15.578339197041794</v>
      </c>
      <c r="N190" s="288">
        <f t="shared" si="42"/>
        <v>-16.602257564624278</v>
      </c>
      <c r="O190" s="289">
        <f t="shared" si="48"/>
        <v>-0.271893310980869</v>
      </c>
      <c r="P190" s="219">
        <f t="shared" si="49"/>
        <v>46.595388454093026</v>
      </c>
      <c r="Q190" s="219">
        <f t="shared" si="50"/>
        <v>45.140653603523617</v>
      </c>
      <c r="R190" s="219" t="e">
        <f t="shared" si="45"/>
        <v>#N/A</v>
      </c>
      <c r="S190" s="220" t="e">
        <f t="shared" si="46"/>
        <v>#N/A</v>
      </c>
      <c r="T190" s="221">
        <f t="shared" si="51"/>
        <v>-46.595388454093026</v>
      </c>
      <c r="U190" s="222">
        <f t="shared" si="52"/>
        <v>-45.140653603523617</v>
      </c>
      <c r="V190" s="223" t="e">
        <f t="shared" si="53"/>
        <v>#N/A</v>
      </c>
      <c r="W190" s="223" t="e">
        <f t="shared" si="54"/>
        <v>#N/A</v>
      </c>
      <c r="X190" s="223"/>
      <c r="Y190" s="280"/>
    </row>
    <row r="191" spans="12:25" ht="17" thickBot="1">
      <c r="M191" s="287">
        <f t="shared" si="47"/>
        <v>-15.578339197041794</v>
      </c>
      <c r="N191" s="288">
        <f t="shared" si="42"/>
        <v>-16.895777331763409</v>
      </c>
      <c r="O191" s="289">
        <f t="shared" si="48"/>
        <v>-0.271893310980869</v>
      </c>
      <c r="P191" s="219">
        <f t="shared" si="49"/>
        <v>46.595388454093026</v>
      </c>
      <c r="Q191" s="219">
        <f t="shared" si="50"/>
        <v>45.140653603523617</v>
      </c>
      <c r="R191" s="219" t="e">
        <f t="shared" si="45"/>
        <v>#N/A</v>
      </c>
      <c r="S191" s="220" t="e">
        <f t="shared" si="46"/>
        <v>#N/A</v>
      </c>
      <c r="T191" s="221">
        <f t="shared" si="51"/>
        <v>-46.595388454093026</v>
      </c>
      <c r="U191" s="222">
        <f t="shared" si="52"/>
        <v>-45.140653603523617</v>
      </c>
      <c r="V191" s="223" t="e">
        <f t="shared" si="53"/>
        <v>#N/A</v>
      </c>
      <c r="W191" s="223" t="e">
        <f t="shared" si="54"/>
        <v>#N/A</v>
      </c>
      <c r="X191" s="223"/>
      <c r="Y191" s="280"/>
    </row>
    <row r="192" spans="12:25">
      <c r="L192" s="261">
        <f>IFERROR(-90+DEGREES(h_)+DEGREES(d_)+0.01,0)</f>
        <v>-10.146922687563464</v>
      </c>
      <c r="M192" s="287">
        <f t="shared" si="47"/>
        <v>-15.578339197041794</v>
      </c>
      <c r="N192" s="288">
        <f t="shared" si="42"/>
        <v>-17.189297098902539</v>
      </c>
      <c r="O192" s="289">
        <f t="shared" si="48"/>
        <v>-0.271893310980869</v>
      </c>
      <c r="P192" s="219">
        <f t="shared" si="49"/>
        <v>46.595388454093026</v>
      </c>
      <c r="Q192" s="219">
        <f t="shared" si="50"/>
        <v>45.140653603523617</v>
      </c>
      <c r="R192" s="219" t="e">
        <f t="shared" si="45"/>
        <v>#N/A</v>
      </c>
      <c r="S192" s="220" t="e">
        <f t="shared" si="46"/>
        <v>#N/A</v>
      </c>
      <c r="T192" s="221">
        <f t="shared" si="51"/>
        <v>-46.595388454093026</v>
      </c>
      <c r="U192" s="222">
        <f t="shared" si="52"/>
        <v>-45.140653603523617</v>
      </c>
      <c r="V192" s="223" t="e">
        <f t="shared" si="53"/>
        <v>#N/A</v>
      </c>
      <c r="W192" s="223" t="e">
        <f t="shared" si="54"/>
        <v>#N/A</v>
      </c>
      <c r="X192" s="223"/>
      <c r="Y192" s="280"/>
    </row>
    <row r="193" spans="12:25" ht="17" thickBot="1">
      <c r="L193" s="262">
        <f>IFERROR(-90+DEGREES(h)+DEGREES(d)+0.01,0)</f>
        <v>-15.578339197041794</v>
      </c>
      <c r="M193" s="290">
        <f t="shared" si="47"/>
        <v>-15.578339197041794</v>
      </c>
      <c r="N193" s="291">
        <f t="shared" si="42"/>
        <v>-17.48281686604167</v>
      </c>
      <c r="O193" s="292">
        <f t="shared" si="48"/>
        <v>-0.271893310980869</v>
      </c>
      <c r="P193" s="263">
        <f t="shared" si="49"/>
        <v>46.595388454093026</v>
      </c>
      <c r="Q193" s="263">
        <f t="shared" si="50"/>
        <v>45.140653603523617</v>
      </c>
      <c r="R193" s="263" t="e">
        <f t="shared" si="45"/>
        <v>#N/A</v>
      </c>
      <c r="S193" s="264" t="e">
        <f t="shared" si="46"/>
        <v>#N/A</v>
      </c>
      <c r="T193" s="265">
        <f t="shared" si="51"/>
        <v>-46.595388454093026</v>
      </c>
      <c r="U193" s="266">
        <f t="shared" si="52"/>
        <v>-45.140653603523617</v>
      </c>
      <c r="V193" s="267" t="e">
        <f t="shared" si="53"/>
        <v>#N/A</v>
      </c>
      <c r="W193" s="267" t="e">
        <f t="shared" si="54"/>
        <v>#N/A</v>
      </c>
      <c r="X193" s="281"/>
      <c r="Y193" s="282"/>
    </row>
    <row r="194" spans="12:25">
      <c r="M194" s="274">
        <f>lat</f>
        <v>23.41377793669697</v>
      </c>
      <c r="N194" s="275"/>
      <c r="O194" s="276"/>
      <c r="P194" s="275"/>
      <c r="Q194" s="275"/>
      <c r="R194" s="275"/>
      <c r="S194" s="275"/>
      <c r="T194" s="277"/>
      <c r="U194" s="277"/>
      <c r="V194" s="278"/>
      <c r="W194" s="278"/>
      <c r="X194" s="300">
        <f>IFERROR(lon,#N/A)</f>
        <v>-69.726008452265447</v>
      </c>
      <c r="Y194" s="279"/>
    </row>
    <row r="195" spans="12:25">
      <c r="M195" s="293">
        <f>d°</f>
        <v>10.359753117975313</v>
      </c>
      <c r="N195" s="294"/>
      <c r="O195" s="294"/>
      <c r="P195" s="294"/>
      <c r="Q195" s="294"/>
      <c r="R195" s="294"/>
      <c r="S195" s="294"/>
      <c r="T195" s="294"/>
      <c r="U195" s="294"/>
      <c r="V195" s="294"/>
      <c r="W195" s="294"/>
      <c r="X195" s="294"/>
      <c r="Y195" s="295">
        <f>IF(Grt°&lt;180,-Grt°,360-Grt°)</f>
        <v>-45.868021028808322</v>
      </c>
    </row>
    <row r="196" spans="12:25" ht="17" thickBot="1">
      <c r="M196" s="296">
        <f>d°_</f>
        <v>10.399461012175736</v>
      </c>
      <c r="N196" s="297"/>
      <c r="O196" s="297"/>
      <c r="P196" s="298"/>
      <c r="Q196" s="298"/>
      <c r="R196" s="298"/>
      <c r="S196" s="298"/>
      <c r="T196" s="298"/>
      <c r="U196" s="298"/>
      <c r="V196" s="298"/>
      <c r="W196" s="298"/>
      <c r="X196" s="298"/>
      <c r="Y196" s="299">
        <f>IF(Grt°_&lt;180,-Grt°_,360-Grt°_)</f>
        <v>-86.40787201804396</v>
      </c>
    </row>
    <row r="197" spans="12:25">
      <c r="M197" s="268"/>
      <c r="N197" s="268"/>
      <c r="O197" s="268"/>
      <c r="P197" s="268"/>
      <c r="Q197" s="268"/>
      <c r="R197" s="268"/>
      <c r="S197" s="268"/>
      <c r="T197" s="268"/>
      <c r="U197" s="268"/>
      <c r="V197" s="268"/>
      <c r="W197" s="268"/>
      <c r="X197" s="268"/>
      <c r="Y197" s="268"/>
    </row>
  </sheetData>
  <sheetProtection algorithmName="SHA-512" hashValue="Q5xqFbzF2MFsok6ek6NkQ2xQc48tChCZutl+5upO/BEUXBGDhiYo0K+awls6YVg8YyifdluBf26W59q6ZZD5Rw==" saltValue="/a2O+dkugvntBKCinjFSJQ==" spinCount="100000" sheet="1" scenarios="1" selectLockedCells="1" selectUnlockedCells="1"/>
  <mergeCells count="1">
    <mergeCell ref="H2:J2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81</vt:i4>
      </vt:variant>
    </vt:vector>
  </HeadingPairs>
  <TitlesOfParts>
    <vt:vector size="84" baseType="lpstr">
      <vt:lpstr>Navigation</vt:lpstr>
      <vt:lpstr>Standortgrafik</vt:lpstr>
      <vt:lpstr>globale Grafik</vt:lpstr>
      <vt:lpstr>_A1</vt:lpstr>
      <vt:lpstr>_A2</vt:lpstr>
      <vt:lpstr>_A3</vt:lpstr>
      <vt:lpstr>_A4</vt:lpstr>
      <vt:lpstr>_B1</vt:lpstr>
      <vt:lpstr>_B2</vt:lpstr>
      <vt:lpstr>_B3</vt:lpstr>
      <vt:lpstr>_B4</vt:lpstr>
      <vt:lpstr>_dek1</vt:lpstr>
      <vt:lpstr>_l</vt:lpstr>
      <vt:lpstr>_ls</vt:lpstr>
      <vt:lpstr>_p1</vt:lpstr>
      <vt:lpstr>_p2</vt:lpstr>
      <vt:lpstr>_s1</vt:lpstr>
      <vt:lpstr>_s2</vt:lpstr>
      <vt:lpstr>_T1</vt:lpstr>
      <vt:lpstr>_T2</vt:lpstr>
      <vt:lpstr>add</vt:lpstr>
      <vt:lpstr>Az</vt:lpstr>
      <vt:lpstr>Az_°</vt:lpstr>
      <vt:lpstr>Az°</vt:lpstr>
      <vt:lpstr>B</vt:lpstr>
      <vt:lpstr>B_</vt:lpstr>
      <vt:lpstr>BB</vt:lpstr>
      <vt:lpstr>cmg</vt:lpstr>
      <vt:lpstr>d</vt:lpstr>
      <vt:lpstr>d_</vt:lpstr>
      <vt:lpstr>d°</vt:lpstr>
      <vt:lpstr>d°_</vt:lpstr>
      <vt:lpstr>dat</vt:lpstr>
      <vt:lpstr>dat_</vt:lpstr>
      <vt:lpstr>deka</vt:lpstr>
      <vt:lpstr>dmg</vt:lpstr>
      <vt:lpstr>F</vt:lpstr>
      <vt:lpstr>G</vt:lpstr>
      <vt:lpstr>grt</vt:lpstr>
      <vt:lpstr>grt_</vt:lpstr>
      <vt:lpstr>Grt°</vt:lpstr>
      <vt:lpstr>Grt°_</vt:lpstr>
      <vt:lpstr>grta</vt:lpstr>
      <vt:lpstr>Gs</vt:lpstr>
      <vt:lpstr>h</vt:lpstr>
      <vt:lpstr>h_</vt:lpstr>
      <vt:lpstr>h_°</vt:lpstr>
      <vt:lpstr>h°</vt:lpstr>
      <vt:lpstr>hma</vt:lpstr>
      <vt:lpstr>hs</vt:lpstr>
      <vt:lpstr>hs°</vt:lpstr>
      <vt:lpstr>j</vt:lpstr>
      <vt:lpstr>js</vt:lpstr>
      <vt:lpstr>K</vt:lpstr>
      <vt:lpstr>lat</vt:lpstr>
      <vt:lpstr>lat°</vt:lpstr>
      <vt:lpstr>LHA</vt:lpstr>
      <vt:lpstr>LHA_</vt:lpstr>
      <vt:lpstr>LHA°</vt:lpstr>
      <vt:lpstr>LHA°_</vt:lpstr>
      <vt:lpstr>LHAa</vt:lpstr>
      <vt:lpstr>lon</vt:lpstr>
      <vt:lpstr>ls</vt:lpstr>
      <vt:lpstr>maxn</vt:lpstr>
      <vt:lpstr>maxs</vt:lpstr>
      <vt:lpstr>minn</vt:lpstr>
      <vt:lpstr>mins</vt:lpstr>
      <vt:lpstr>ot</vt:lpstr>
      <vt:lpstr>ot_</vt:lpstr>
      <vt:lpstr>P</vt:lpstr>
      <vt:lpstr>q</vt:lpstr>
      <vt:lpstr>ref</vt:lpstr>
      <vt:lpstr>step</vt:lpstr>
      <vt:lpstr>t</vt:lpstr>
      <vt:lpstr>tau</vt:lpstr>
      <vt:lpstr>taus</vt:lpstr>
      <vt:lpstr>TG</vt:lpstr>
      <vt:lpstr>V</vt:lpstr>
      <vt:lpstr>var</vt:lpstr>
      <vt:lpstr>vb</vt:lpstr>
      <vt:lpstr>vl</vt:lpstr>
      <vt:lpstr>W</vt:lpstr>
      <vt:lpstr>Ws</vt:lpstr>
      <vt:lpstr>z_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Office-Anwender</dc:creator>
  <cp:lastModifiedBy>Helmut Hoffrichter</cp:lastModifiedBy>
  <dcterms:created xsi:type="dcterms:W3CDTF">2018-01-04T14:37:05Z</dcterms:created>
  <dcterms:modified xsi:type="dcterms:W3CDTF">2025-05-28T12:55:47Z</dcterms:modified>
</cp:coreProperties>
</file>