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13_ncr:1_{1DB78CD0-13AB-484B-B79A-CF182B80A673}" xr6:coauthVersionLast="36" xr6:coauthVersionMax="36" xr10:uidLastSave="{00000000-0000-0000-0000-000000000000}"/>
  <bookViews>
    <workbookView xWindow="5380" yWindow="500" windowWidth="29140" windowHeight="21100" tabRatio="500" xr2:uid="{00000000-000D-0000-FFFF-FFFF00000000}"/>
  </bookViews>
  <sheets>
    <sheet name="Navigation" sheetId="7" r:id="rId1"/>
    <sheet name="Standortgrafik" sheetId="2" r:id="rId2"/>
    <sheet name="globale Grafik" sheetId="4" r:id="rId3"/>
  </sheets>
  <definedNames>
    <definedName name="_A1">Navigation!$K$18</definedName>
    <definedName name="_A2">Navigation!$K$19</definedName>
    <definedName name="_A3">Navigation!$K$20</definedName>
    <definedName name="_A4">Navigation!$K$21</definedName>
    <definedName name="_B1">Navigation!$K$23</definedName>
    <definedName name="_B2">Navigation!$K$24</definedName>
    <definedName name="_B3">Navigation!$K$25</definedName>
    <definedName name="_B4">Navigation!$K$26</definedName>
    <definedName name="_dek1">Navigation!$AB$8</definedName>
    <definedName name="_l">Navigation!$V$16</definedName>
    <definedName name="_ls">Navigation!$V$24</definedName>
    <definedName name="_p1">Navigation!$AC$10</definedName>
    <definedName name="_p2">Navigation!$AC$11</definedName>
    <definedName name="_s1">Navigation!$AC$12</definedName>
    <definedName name="_s1v">Navigation!$AB$30</definedName>
    <definedName name="_s2">Navigation!$AC$13</definedName>
    <definedName name="_T1">Navigation!$N$18</definedName>
    <definedName name="_T2">Navigation!$O$18</definedName>
    <definedName name="add">'globale Grafik'!$AE$16</definedName>
    <definedName name="Az">Navigation!$V$18</definedName>
    <definedName name="Az_°">Navigation!$U$29</definedName>
    <definedName name="Az°">Navigation!$U$18</definedName>
    <definedName name="B">Standortgrafik!$M$12</definedName>
    <definedName name="B_">Standortgrafik!$M$13</definedName>
    <definedName name="BB">Navigation!$V$37</definedName>
    <definedName name="cmg">Navigation!$H$17</definedName>
    <definedName name="d">Navigation!$N$29</definedName>
    <definedName name="d_">Navigation!$O$29</definedName>
    <definedName name="d°">Navigation!$N$31</definedName>
    <definedName name="d°_">Navigation!$O$31</definedName>
    <definedName name="dat">Navigation!$G$12</definedName>
    <definedName name="dat_">Navigation!$G$20</definedName>
    <definedName name="deka">Navigation!$W$29</definedName>
    <definedName name="dira">Navigation!$V$17</definedName>
    <definedName name="dmg">Navigation!$C$17</definedName>
    <definedName name="F">Navigation!$V$10</definedName>
    <definedName name="G">Navigation!$V$13</definedName>
    <definedName name="grt">Navigation!$N$28</definedName>
    <definedName name="grt_">Navigation!$O$28</definedName>
    <definedName name="Grt°">Navigation!$N$30</definedName>
    <definedName name="Grt°_">Navigation!$O$30</definedName>
    <definedName name="grta">Navigation!$W$28</definedName>
    <definedName name="Gs">Navigation!$V$21</definedName>
    <definedName name="h">Navigation!$L$13</definedName>
    <definedName name="h_">Navigation!$N$13</definedName>
    <definedName name="h_°">Navigation!$N$11</definedName>
    <definedName name="h°">Navigation!$L$11</definedName>
    <definedName name="hma">Navigation!$M$13</definedName>
    <definedName name="hmav">Navigation!$AB$29</definedName>
    <definedName name="hs">Navigation!$V$19</definedName>
    <definedName name="hs°">Navigation!$U$19</definedName>
    <definedName name="j">Navigation!$V$15</definedName>
    <definedName name="js">Navigation!$V$23</definedName>
    <definedName name="K">Navigation!$V$7</definedName>
    <definedName name="lam0">Navigation!$V$14</definedName>
    <definedName name="lam0s">Navigation!$V$22</definedName>
    <definedName name="lat">Navigation!$U$23</definedName>
    <definedName name="lat°">Navigation!$U$15</definedName>
    <definedName name="LHA">Navigation!$V$17</definedName>
    <definedName name="LHA_">Navigation!$V$28</definedName>
    <definedName name="LHA°">Navigation!$U$17</definedName>
    <definedName name="LHA°_">Navigation!$U$28</definedName>
    <definedName name="LHAa">Navigation!$AA$27</definedName>
    <definedName name="lon">Navigation!$U$25</definedName>
    <definedName name="ls">Navigation!$V$25</definedName>
    <definedName name="maxn">'globale Grafik'!$AE$6</definedName>
    <definedName name="maxs">'globale Grafik'!$AE$9</definedName>
    <definedName name="minn">'globale Grafik'!$AE$8</definedName>
    <definedName name="mins">'globale Grafik'!$AE$7</definedName>
    <definedName name="ot">Navigation!$G$13</definedName>
    <definedName name="ot_">Navigation!$G$21</definedName>
    <definedName name="P">Navigation!$T$7</definedName>
    <definedName name="q">Navigation!$V$9</definedName>
    <definedName name="ref">Navigation!$K$28</definedName>
    <definedName name="step">'globale Grafik'!$AE$17</definedName>
    <definedName name="t">Navigation!$AC$14</definedName>
    <definedName name="TG">Navigation!$F$20</definedName>
    <definedName name="V">Navigation!$V$11</definedName>
    <definedName name="var">Navigation!$U$6</definedName>
    <definedName name="vb">Standortgrafik!$O$9</definedName>
    <definedName name="vl">Standortgrafik!$O$10</definedName>
    <definedName name="W">Navigation!$V$12</definedName>
    <definedName name="Ws">Navigation!$V$20</definedName>
    <definedName name="z_">Navigation!$V$29</definedName>
  </definedNames>
  <calcPr calcId="181029"/>
  <extLs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V22" i="7" l="1"/>
  <c r="V14" i="7"/>
  <c r="O28" i="7" l="1"/>
  <c r="N28" i="7"/>
  <c r="T7" i="7" l="1"/>
  <c r="C9" i="7" l="1"/>
  <c r="C21" i="7"/>
  <c r="D22" i="7"/>
  <c r="F14" i="7"/>
  <c r="F13" i="7"/>
  <c r="F20" i="7" l="1"/>
  <c r="E21" i="7" l="1"/>
  <c r="E22" i="7"/>
  <c r="M11" i="2" l="1"/>
  <c r="M10" i="2" l="1"/>
  <c r="M9" i="2"/>
  <c r="O9" i="2" s="1"/>
  <c r="E29" i="7" l="1"/>
  <c r="C29" i="7"/>
  <c r="K21" i="7"/>
  <c r="R20" i="7"/>
  <c r="K20" i="7"/>
  <c r="K19" i="7"/>
  <c r="N18" i="7"/>
  <c r="K18" i="7"/>
  <c r="N10" i="7"/>
  <c r="L10" i="7"/>
  <c r="Q8" i="7"/>
  <c r="Q9" i="7" s="1"/>
  <c r="N7" i="7"/>
  <c r="N8" i="7" s="1"/>
  <c r="L7" i="7"/>
  <c r="L8" i="7" s="1"/>
  <c r="H5" i="7"/>
  <c r="U6" i="7" l="1"/>
  <c r="N19" i="7"/>
  <c r="N20" i="7"/>
  <c r="N25" i="7"/>
  <c r="N22" i="7"/>
  <c r="O18" i="7"/>
  <c r="Q10" i="7"/>
  <c r="Q11" i="7" s="1"/>
  <c r="Q12" i="7" s="1"/>
  <c r="Q13" i="7" s="1"/>
  <c r="Q14" i="7" s="1"/>
  <c r="Q15" i="7" s="1"/>
  <c r="Q16" i="7" s="1"/>
  <c r="Q17" i="7" s="1"/>
  <c r="Q18" i="7" s="1"/>
  <c r="N9" i="7"/>
  <c r="N11" i="7" s="1"/>
  <c r="N13" i="7" s="1"/>
  <c r="O19" i="7" l="1"/>
  <c r="O25" i="7"/>
  <c r="N21" i="7"/>
  <c r="N23" i="7" s="1"/>
  <c r="N24" i="7" s="1"/>
  <c r="N29" i="7" s="1"/>
  <c r="O20" i="7"/>
  <c r="O22" i="7"/>
  <c r="N12" i="7"/>
  <c r="E34" i="7" s="1"/>
  <c r="L9" i="7"/>
  <c r="L11" i="7" s="1"/>
  <c r="O21" i="7" l="1"/>
  <c r="O23" i="7" s="1"/>
  <c r="O24" i="7" s="1"/>
  <c r="N26" i="7"/>
  <c r="N27" i="7" s="1"/>
  <c r="N31" i="7"/>
  <c r="O12" i="7"/>
  <c r="G34" i="7" s="1"/>
  <c r="L13" i="7"/>
  <c r="L8" i="4" s="1"/>
  <c r="L12" i="7"/>
  <c r="C34" i="7" s="1"/>
  <c r="M195" i="4" l="1"/>
  <c r="C31" i="7"/>
  <c r="D31" i="7" s="1"/>
  <c r="O29" i="7"/>
  <c r="O26" i="7"/>
  <c r="O27" i="7" s="1"/>
  <c r="M12" i="7"/>
  <c r="D34" i="7" s="1"/>
  <c r="N30" i="7" l="1"/>
  <c r="C30" i="7" s="1"/>
  <c r="D30" i="7" s="1"/>
  <c r="L9" i="4"/>
  <c r="AE6" i="4" s="1"/>
  <c r="O31" i="7"/>
  <c r="V9" i="7" l="1"/>
  <c r="V10" i="7" s="1"/>
  <c r="V11" i="7" s="1"/>
  <c r="O30" i="7"/>
  <c r="E31" i="7"/>
  <c r="G31" i="7" s="1"/>
  <c r="U9" i="7" l="1"/>
  <c r="E30" i="7"/>
  <c r="G30" i="7" s="1"/>
  <c r="M8" i="2" l="1"/>
  <c r="M7" i="2"/>
  <c r="Y195" i="4" l="1"/>
  <c r="L193" i="4" l="1"/>
  <c r="Y196" i="4"/>
  <c r="M196" i="4"/>
  <c r="L192" i="4" l="1"/>
  <c r="AE9" i="4" s="1"/>
  <c r="AE7" i="4" l="1"/>
  <c r="AE12" i="4" s="1"/>
  <c r="AE8" i="4"/>
  <c r="AE10" i="4" s="1"/>
  <c r="AE11" i="4" l="1"/>
  <c r="AE13" i="4" s="1"/>
  <c r="AE15" i="4" l="1"/>
  <c r="AE16" i="4" l="1"/>
  <c r="AE17" i="4"/>
  <c r="N7" i="4" l="1"/>
  <c r="N8" i="4" s="1"/>
  <c r="M8" i="4" s="1"/>
  <c r="O8" i="4" s="1"/>
  <c r="P8" i="4" l="1"/>
  <c r="T8" i="4" s="1"/>
  <c r="N9" i="4"/>
  <c r="M9" i="4" s="1"/>
  <c r="O9" i="4" s="1"/>
  <c r="P9" i="4" s="1"/>
  <c r="T9" i="4" s="1"/>
  <c r="R8" i="4"/>
  <c r="V8" i="4" s="1"/>
  <c r="S8" i="4"/>
  <c r="W8" i="4" s="1"/>
  <c r="Q8" i="4"/>
  <c r="U8" i="4" s="1"/>
  <c r="Q9" i="4" l="1"/>
  <c r="U9" i="4" s="1"/>
  <c r="S9" i="4"/>
  <c r="W9" i="4" s="1"/>
  <c r="R9" i="4"/>
  <c r="V9" i="4" s="1"/>
  <c r="N10" i="4"/>
  <c r="M10" i="4" s="1"/>
  <c r="O10" i="4" s="1"/>
  <c r="Q10" i="4" s="1"/>
  <c r="U10" i="4" s="1"/>
  <c r="N11" i="4" l="1"/>
  <c r="M11" i="4" s="1"/>
  <c r="O11" i="4" s="1"/>
  <c r="P11" i="4" s="1"/>
  <c r="T11" i="4" s="1"/>
  <c r="P10" i="4"/>
  <c r="T10" i="4" s="1"/>
  <c r="R10" i="4"/>
  <c r="V10" i="4" s="1"/>
  <c r="S10" i="4"/>
  <c r="W10" i="4" s="1"/>
  <c r="Q11" i="4" l="1"/>
  <c r="U11" i="4" s="1"/>
  <c r="N12" i="4"/>
  <c r="M12" i="4" s="1"/>
  <c r="O12" i="4" s="1"/>
  <c r="S12" i="4" s="1"/>
  <c r="W12" i="4" s="1"/>
  <c r="S11" i="4"/>
  <c r="W11" i="4" s="1"/>
  <c r="R11" i="4"/>
  <c r="V11" i="4" s="1"/>
  <c r="Q12" i="4" l="1"/>
  <c r="U12" i="4" s="1"/>
  <c r="P12" i="4"/>
  <c r="T12" i="4" s="1"/>
  <c r="R12" i="4"/>
  <c r="V12" i="4" s="1"/>
  <c r="N13" i="4"/>
  <c r="M13" i="4" s="1"/>
  <c r="O13" i="4" s="1"/>
  <c r="P13" i="4" s="1"/>
  <c r="T13" i="4" s="1"/>
  <c r="S13" i="4" l="1"/>
  <c r="W13" i="4" s="1"/>
  <c r="R13" i="4"/>
  <c r="V13" i="4" s="1"/>
  <c r="N14" i="4"/>
  <c r="M14" i="4" s="1"/>
  <c r="O14" i="4" s="1"/>
  <c r="R14" i="4" s="1"/>
  <c r="V14" i="4" s="1"/>
  <c r="Q13" i="4"/>
  <c r="U13" i="4" s="1"/>
  <c r="N15" i="4" l="1"/>
  <c r="N16" i="4" s="1"/>
  <c r="N17" i="4" s="1"/>
  <c r="Q14" i="4"/>
  <c r="U14" i="4" s="1"/>
  <c r="S14" i="4"/>
  <c r="W14" i="4" s="1"/>
  <c r="P14" i="4"/>
  <c r="T14" i="4" s="1"/>
  <c r="M16" i="4" l="1"/>
  <c r="O16" i="4" s="1"/>
  <c r="P16" i="4" s="1"/>
  <c r="T16" i="4" s="1"/>
  <c r="M15" i="4"/>
  <c r="O15" i="4" s="1"/>
  <c r="S15" i="4" s="1"/>
  <c r="W15" i="4" s="1"/>
  <c r="M17" i="4"/>
  <c r="O17" i="4" s="1"/>
  <c r="N18" i="4"/>
  <c r="S16" i="4" l="1"/>
  <c r="W16" i="4" s="1"/>
  <c r="Q16" i="4"/>
  <c r="U16" i="4" s="1"/>
  <c r="R16" i="4"/>
  <c r="V16" i="4" s="1"/>
  <c r="R15" i="4"/>
  <c r="V15" i="4" s="1"/>
  <c r="P15" i="4"/>
  <c r="T15" i="4" s="1"/>
  <c r="Q15" i="4"/>
  <c r="U15" i="4" s="1"/>
  <c r="P17" i="4"/>
  <c r="T17" i="4" s="1"/>
  <c r="Q17" i="4"/>
  <c r="U17" i="4" s="1"/>
  <c r="R17" i="4"/>
  <c r="V17" i="4" s="1"/>
  <c r="S17" i="4"/>
  <c r="W17" i="4" s="1"/>
  <c r="N19" i="4"/>
  <c r="M18" i="4"/>
  <c r="O18" i="4" s="1"/>
  <c r="S18" i="4" l="1"/>
  <c r="W18" i="4" s="1"/>
  <c r="R18" i="4"/>
  <c r="V18" i="4" s="1"/>
  <c r="P18" i="4"/>
  <c r="T18" i="4" s="1"/>
  <c r="Q18" i="4"/>
  <c r="U18" i="4" s="1"/>
  <c r="N20" i="4"/>
  <c r="M19" i="4"/>
  <c r="O19" i="4" s="1"/>
  <c r="R19" i="4" l="1"/>
  <c r="V19" i="4" s="1"/>
  <c r="P19" i="4"/>
  <c r="T19" i="4" s="1"/>
  <c r="Q19" i="4"/>
  <c r="U19" i="4" s="1"/>
  <c r="S19" i="4"/>
  <c r="W19" i="4" s="1"/>
  <c r="N21" i="4"/>
  <c r="M20" i="4"/>
  <c r="O20" i="4" s="1"/>
  <c r="P20" i="4" l="1"/>
  <c r="T20" i="4" s="1"/>
  <c r="Q20" i="4"/>
  <c r="U20" i="4" s="1"/>
  <c r="R20" i="4"/>
  <c r="V20" i="4" s="1"/>
  <c r="S20" i="4"/>
  <c r="W20" i="4" s="1"/>
  <c r="N22" i="4"/>
  <c r="M21" i="4"/>
  <c r="O21" i="4" s="1"/>
  <c r="Q21" i="4" l="1"/>
  <c r="U21" i="4" s="1"/>
  <c r="S21" i="4"/>
  <c r="W21" i="4" s="1"/>
  <c r="P21" i="4"/>
  <c r="T21" i="4" s="1"/>
  <c r="R21" i="4"/>
  <c r="V21" i="4" s="1"/>
  <c r="M22" i="4"/>
  <c r="O22" i="4" s="1"/>
  <c r="N23" i="4"/>
  <c r="N24" i="4" l="1"/>
  <c r="M23" i="4"/>
  <c r="O23" i="4" s="1"/>
  <c r="Q22" i="4"/>
  <c r="U22" i="4" s="1"/>
  <c r="S22" i="4"/>
  <c r="W22" i="4" s="1"/>
  <c r="P22" i="4"/>
  <c r="T22" i="4" s="1"/>
  <c r="R22" i="4"/>
  <c r="V22" i="4" s="1"/>
  <c r="S23" i="4" l="1"/>
  <c r="W23" i="4" s="1"/>
  <c r="R23" i="4"/>
  <c r="V23" i="4" s="1"/>
  <c r="P23" i="4"/>
  <c r="T23" i="4" s="1"/>
  <c r="Q23" i="4"/>
  <c r="U23" i="4" s="1"/>
  <c r="N25" i="4"/>
  <c r="M24" i="4"/>
  <c r="O24" i="4" s="1"/>
  <c r="R24" i="4" l="1"/>
  <c r="V24" i="4" s="1"/>
  <c r="S24" i="4"/>
  <c r="W24" i="4" s="1"/>
  <c r="P24" i="4"/>
  <c r="T24" i="4" s="1"/>
  <c r="Q24" i="4"/>
  <c r="U24" i="4" s="1"/>
  <c r="N26" i="4"/>
  <c r="M25" i="4"/>
  <c r="O25" i="4" s="1"/>
  <c r="N27" i="4" l="1"/>
  <c r="M26" i="4"/>
  <c r="O26" i="4" s="1"/>
  <c r="S25" i="4"/>
  <c r="W25" i="4" s="1"/>
  <c r="P25" i="4"/>
  <c r="T25" i="4" s="1"/>
  <c r="Q25" i="4"/>
  <c r="U25" i="4" s="1"/>
  <c r="R25" i="4"/>
  <c r="V25" i="4" s="1"/>
  <c r="Q26" i="4" l="1"/>
  <c r="U26" i="4" s="1"/>
  <c r="R26" i="4"/>
  <c r="V26" i="4" s="1"/>
  <c r="P26" i="4"/>
  <c r="T26" i="4" s="1"/>
  <c r="S26" i="4"/>
  <c r="W26" i="4" s="1"/>
  <c r="N28" i="4"/>
  <c r="M27" i="4"/>
  <c r="O27" i="4" s="1"/>
  <c r="Q27" i="4" l="1"/>
  <c r="U27" i="4" s="1"/>
  <c r="R27" i="4"/>
  <c r="V27" i="4" s="1"/>
  <c r="P27" i="4"/>
  <c r="T27" i="4" s="1"/>
  <c r="S27" i="4"/>
  <c r="W27" i="4" s="1"/>
  <c r="N29" i="4"/>
  <c r="M28" i="4"/>
  <c r="O28" i="4" s="1"/>
  <c r="N30" i="4" l="1"/>
  <c r="M29" i="4"/>
  <c r="O29" i="4" s="1"/>
  <c r="S28" i="4"/>
  <c r="W28" i="4" s="1"/>
  <c r="R28" i="4"/>
  <c r="V28" i="4" s="1"/>
  <c r="P28" i="4"/>
  <c r="T28" i="4" s="1"/>
  <c r="Q28" i="4"/>
  <c r="U28" i="4" s="1"/>
  <c r="N31" i="4" l="1"/>
  <c r="M30" i="4"/>
  <c r="O30" i="4" s="1"/>
  <c r="R29" i="4"/>
  <c r="V29" i="4" s="1"/>
  <c r="P29" i="4"/>
  <c r="T29" i="4" s="1"/>
  <c r="Q29" i="4"/>
  <c r="U29" i="4" s="1"/>
  <c r="S29" i="4"/>
  <c r="W29" i="4" s="1"/>
  <c r="Q30" i="4" l="1"/>
  <c r="U30" i="4" s="1"/>
  <c r="R30" i="4"/>
  <c r="V30" i="4" s="1"/>
  <c r="S30" i="4"/>
  <c r="W30" i="4" s="1"/>
  <c r="P30" i="4"/>
  <c r="T30" i="4" s="1"/>
  <c r="M31" i="4"/>
  <c r="O31" i="4" s="1"/>
  <c r="N32" i="4"/>
  <c r="M32" i="4" l="1"/>
  <c r="O32" i="4" s="1"/>
  <c r="N33" i="4"/>
  <c r="P31" i="4"/>
  <c r="T31" i="4" s="1"/>
  <c r="Q31" i="4"/>
  <c r="U31" i="4" s="1"/>
  <c r="R31" i="4"/>
  <c r="V31" i="4" s="1"/>
  <c r="S31" i="4"/>
  <c r="W31" i="4" s="1"/>
  <c r="M33" i="4" l="1"/>
  <c r="O33" i="4" s="1"/>
  <c r="N34" i="4"/>
  <c r="S32" i="4"/>
  <c r="W32" i="4" s="1"/>
  <c r="Q32" i="4"/>
  <c r="U32" i="4" s="1"/>
  <c r="P32" i="4"/>
  <c r="T32" i="4" s="1"/>
  <c r="R32" i="4"/>
  <c r="V32" i="4" s="1"/>
  <c r="N35" i="4" l="1"/>
  <c r="M34" i="4"/>
  <c r="O34" i="4" s="1"/>
  <c r="Q33" i="4"/>
  <c r="U33" i="4" s="1"/>
  <c r="R33" i="4"/>
  <c r="V33" i="4" s="1"/>
  <c r="S33" i="4"/>
  <c r="W33" i="4" s="1"/>
  <c r="P33" i="4"/>
  <c r="T33" i="4" s="1"/>
  <c r="P34" i="4" l="1"/>
  <c r="T34" i="4" s="1"/>
  <c r="Q34" i="4"/>
  <c r="U34" i="4" s="1"/>
  <c r="S34" i="4"/>
  <c r="W34" i="4" s="1"/>
  <c r="R34" i="4"/>
  <c r="V34" i="4" s="1"/>
  <c r="N36" i="4"/>
  <c r="M35" i="4"/>
  <c r="O35" i="4" s="1"/>
  <c r="R35" i="4" l="1"/>
  <c r="V35" i="4" s="1"/>
  <c r="Q35" i="4"/>
  <c r="U35" i="4" s="1"/>
  <c r="P35" i="4"/>
  <c r="T35" i="4" s="1"/>
  <c r="S35" i="4"/>
  <c r="W35" i="4" s="1"/>
  <c r="M36" i="4"/>
  <c r="O36" i="4" s="1"/>
  <c r="N37" i="4"/>
  <c r="N38" i="4" l="1"/>
  <c r="M37" i="4"/>
  <c r="O37" i="4" s="1"/>
  <c r="S36" i="4"/>
  <c r="W36" i="4" s="1"/>
  <c r="R36" i="4"/>
  <c r="V36" i="4" s="1"/>
  <c r="Q36" i="4"/>
  <c r="U36" i="4" s="1"/>
  <c r="P36" i="4"/>
  <c r="T36" i="4" s="1"/>
  <c r="M38" i="4" l="1"/>
  <c r="O38" i="4" s="1"/>
  <c r="S38" i="4" s="1"/>
  <c r="W38" i="4" s="1"/>
  <c r="N39" i="4"/>
  <c r="R37" i="4"/>
  <c r="V37" i="4" s="1"/>
  <c r="P37" i="4"/>
  <c r="T37" i="4" s="1"/>
  <c r="S37" i="4"/>
  <c r="W37" i="4" s="1"/>
  <c r="Q37" i="4"/>
  <c r="U37" i="4" s="1"/>
  <c r="Q38" i="4" l="1"/>
  <c r="U38" i="4" s="1"/>
  <c r="P38" i="4"/>
  <c r="T38" i="4" s="1"/>
  <c r="R38" i="4"/>
  <c r="V38" i="4" s="1"/>
  <c r="M39" i="4"/>
  <c r="O39" i="4" s="1"/>
  <c r="N40" i="4"/>
  <c r="M40" i="4" l="1"/>
  <c r="O40" i="4" s="1"/>
  <c r="N41" i="4"/>
  <c r="R39" i="4"/>
  <c r="V39" i="4" s="1"/>
  <c r="S39" i="4"/>
  <c r="W39" i="4" s="1"/>
  <c r="P39" i="4"/>
  <c r="T39" i="4" s="1"/>
  <c r="Q39" i="4"/>
  <c r="U39" i="4" s="1"/>
  <c r="N42" i="4" l="1"/>
  <c r="M41" i="4"/>
  <c r="O41" i="4" s="1"/>
  <c r="R40" i="4"/>
  <c r="V40" i="4" s="1"/>
  <c r="S40" i="4"/>
  <c r="W40" i="4" s="1"/>
  <c r="P40" i="4"/>
  <c r="T40" i="4" s="1"/>
  <c r="Q40" i="4"/>
  <c r="U40" i="4" s="1"/>
  <c r="S41" i="4" l="1"/>
  <c r="W41" i="4" s="1"/>
  <c r="R41" i="4"/>
  <c r="V41" i="4" s="1"/>
  <c r="P41" i="4"/>
  <c r="T41" i="4" s="1"/>
  <c r="Q41" i="4"/>
  <c r="U41" i="4" s="1"/>
  <c r="M42" i="4"/>
  <c r="O42" i="4" s="1"/>
  <c r="N43" i="4"/>
  <c r="M43" i="4" l="1"/>
  <c r="O43" i="4" s="1"/>
  <c r="N44" i="4"/>
  <c r="R42" i="4"/>
  <c r="V42" i="4" s="1"/>
  <c r="S42" i="4"/>
  <c r="W42" i="4" s="1"/>
  <c r="Q42" i="4"/>
  <c r="U42" i="4" s="1"/>
  <c r="P42" i="4"/>
  <c r="T42" i="4" s="1"/>
  <c r="N45" i="4" l="1"/>
  <c r="M44" i="4"/>
  <c r="O44" i="4" s="1"/>
  <c r="S43" i="4"/>
  <c r="W43" i="4" s="1"/>
  <c r="R43" i="4"/>
  <c r="V43" i="4" s="1"/>
  <c r="P43" i="4"/>
  <c r="T43" i="4" s="1"/>
  <c r="Q43" i="4"/>
  <c r="U43" i="4" s="1"/>
  <c r="R44" i="4" l="1"/>
  <c r="V44" i="4" s="1"/>
  <c r="S44" i="4"/>
  <c r="W44" i="4" s="1"/>
  <c r="P44" i="4"/>
  <c r="T44" i="4" s="1"/>
  <c r="Q44" i="4"/>
  <c r="U44" i="4" s="1"/>
  <c r="M45" i="4"/>
  <c r="O45" i="4" s="1"/>
  <c r="N46" i="4"/>
  <c r="N47" i="4" l="1"/>
  <c r="M46" i="4"/>
  <c r="O46" i="4" s="1"/>
  <c r="R45" i="4"/>
  <c r="V45" i="4" s="1"/>
  <c r="S45" i="4"/>
  <c r="W45" i="4" s="1"/>
  <c r="Q45" i="4"/>
  <c r="U45" i="4" s="1"/>
  <c r="P45" i="4"/>
  <c r="T45" i="4" s="1"/>
  <c r="R46" i="4" l="1"/>
  <c r="V46" i="4" s="1"/>
  <c r="S46" i="4"/>
  <c r="W46" i="4" s="1"/>
  <c r="P46" i="4"/>
  <c r="T46" i="4" s="1"/>
  <c r="Q46" i="4"/>
  <c r="U46" i="4" s="1"/>
  <c r="M47" i="4"/>
  <c r="O47" i="4" s="1"/>
  <c r="P47" i="4" s="1"/>
  <c r="N48" i="4"/>
  <c r="M48" i="4" l="1"/>
  <c r="O48" i="4" s="1"/>
  <c r="N49" i="4"/>
  <c r="S47" i="4"/>
  <c r="W47" i="4" s="1"/>
  <c r="R47" i="4"/>
  <c r="V47" i="4" s="1"/>
  <c r="T47" i="4"/>
  <c r="Q47" i="4"/>
  <c r="U47" i="4" s="1"/>
  <c r="N50" i="4" l="1"/>
  <c r="M49" i="4"/>
  <c r="O49" i="4" s="1"/>
  <c r="R48" i="4"/>
  <c r="V48" i="4" s="1"/>
  <c r="S48" i="4"/>
  <c r="W48" i="4" s="1"/>
  <c r="P48" i="4"/>
  <c r="T48" i="4" s="1"/>
  <c r="Q48" i="4"/>
  <c r="U48" i="4" s="1"/>
  <c r="S49" i="4" l="1"/>
  <c r="W49" i="4" s="1"/>
  <c r="R49" i="4"/>
  <c r="V49" i="4" s="1"/>
  <c r="Q49" i="4"/>
  <c r="U49" i="4" s="1"/>
  <c r="P49" i="4"/>
  <c r="T49" i="4" s="1"/>
  <c r="M50" i="4"/>
  <c r="O50" i="4" s="1"/>
  <c r="N51" i="4"/>
  <c r="M51" i="4" l="1"/>
  <c r="O51" i="4" s="1"/>
  <c r="N52" i="4"/>
  <c r="R50" i="4"/>
  <c r="V50" i="4" s="1"/>
  <c r="S50" i="4"/>
  <c r="W50" i="4" s="1"/>
  <c r="Q50" i="4"/>
  <c r="U50" i="4" s="1"/>
  <c r="P50" i="4"/>
  <c r="T50" i="4" s="1"/>
  <c r="M52" i="4" l="1"/>
  <c r="O52" i="4" s="1"/>
  <c r="N53" i="4"/>
  <c r="R51" i="4"/>
  <c r="V51" i="4" s="1"/>
  <c r="S51" i="4"/>
  <c r="W51" i="4" s="1"/>
  <c r="P51" i="4"/>
  <c r="T51" i="4" s="1"/>
  <c r="Q51" i="4"/>
  <c r="U51" i="4" s="1"/>
  <c r="M53" i="4" l="1"/>
  <c r="O53" i="4" s="1"/>
  <c r="N54" i="4"/>
  <c r="S52" i="4"/>
  <c r="W52" i="4" s="1"/>
  <c r="R52" i="4"/>
  <c r="V52" i="4" s="1"/>
  <c r="Q52" i="4"/>
  <c r="U52" i="4" s="1"/>
  <c r="P52" i="4"/>
  <c r="T52" i="4" s="1"/>
  <c r="N55" i="4" l="1"/>
  <c r="M54" i="4"/>
  <c r="O54" i="4" s="1"/>
  <c r="R53" i="4"/>
  <c r="V53" i="4" s="1"/>
  <c r="S53" i="4"/>
  <c r="W53" i="4" s="1"/>
  <c r="Q53" i="4"/>
  <c r="U53" i="4" s="1"/>
  <c r="P53" i="4"/>
  <c r="T53" i="4" s="1"/>
  <c r="R54" i="4" l="1"/>
  <c r="V54" i="4" s="1"/>
  <c r="S54" i="4"/>
  <c r="W54" i="4" s="1"/>
  <c r="P54" i="4"/>
  <c r="T54" i="4" s="1"/>
  <c r="Q54" i="4"/>
  <c r="U54" i="4" s="1"/>
  <c r="M55" i="4"/>
  <c r="O55" i="4" s="1"/>
  <c r="N56" i="4"/>
  <c r="S55" i="4" l="1"/>
  <c r="W55" i="4" s="1"/>
  <c r="R55" i="4"/>
  <c r="V55" i="4" s="1"/>
  <c r="P55" i="4"/>
  <c r="T55" i="4" s="1"/>
  <c r="Q55" i="4"/>
  <c r="U55" i="4" s="1"/>
  <c r="M56" i="4"/>
  <c r="O56" i="4" s="1"/>
  <c r="N57" i="4"/>
  <c r="N58" i="4" l="1"/>
  <c r="M57" i="4"/>
  <c r="O57" i="4" s="1"/>
  <c r="R56" i="4"/>
  <c r="V56" i="4" s="1"/>
  <c r="S56" i="4"/>
  <c r="W56" i="4" s="1"/>
  <c r="P56" i="4"/>
  <c r="T56" i="4" s="1"/>
  <c r="Q56" i="4"/>
  <c r="U56" i="4" s="1"/>
  <c r="R57" i="4" l="1"/>
  <c r="V57" i="4" s="1"/>
  <c r="S57" i="4"/>
  <c r="W57" i="4" s="1"/>
  <c r="Q57" i="4"/>
  <c r="U57" i="4" s="1"/>
  <c r="P57" i="4"/>
  <c r="T57" i="4" s="1"/>
  <c r="M58" i="4"/>
  <c r="O58" i="4" s="1"/>
  <c r="N59" i="4"/>
  <c r="N60" i="4" l="1"/>
  <c r="M59" i="4"/>
  <c r="O59" i="4" s="1"/>
  <c r="S58" i="4"/>
  <c r="W58" i="4" s="1"/>
  <c r="R58" i="4"/>
  <c r="V58" i="4" s="1"/>
  <c r="P58" i="4"/>
  <c r="T58" i="4" s="1"/>
  <c r="Q58" i="4"/>
  <c r="U58" i="4" s="1"/>
  <c r="R59" i="4" l="1"/>
  <c r="V59" i="4" s="1"/>
  <c r="S59" i="4"/>
  <c r="W59" i="4" s="1"/>
  <c r="Q59" i="4"/>
  <c r="U59" i="4" s="1"/>
  <c r="P59" i="4"/>
  <c r="T59" i="4" s="1"/>
  <c r="N61" i="4"/>
  <c r="M60" i="4"/>
  <c r="O60" i="4" s="1"/>
  <c r="R60" i="4" l="1"/>
  <c r="V60" i="4" s="1"/>
  <c r="S60" i="4"/>
  <c r="W60" i="4" s="1"/>
  <c r="P60" i="4"/>
  <c r="T60" i="4" s="1"/>
  <c r="Q60" i="4"/>
  <c r="U60" i="4" s="1"/>
  <c r="M61" i="4"/>
  <c r="O61" i="4" s="1"/>
  <c r="N62" i="4"/>
  <c r="N63" i="4" l="1"/>
  <c r="M62" i="4"/>
  <c r="O62" i="4" s="1"/>
  <c r="S61" i="4"/>
  <c r="W61" i="4" s="1"/>
  <c r="R61" i="4"/>
  <c r="V61" i="4" s="1"/>
  <c r="Q61" i="4"/>
  <c r="U61" i="4" s="1"/>
  <c r="P61" i="4"/>
  <c r="T61" i="4" s="1"/>
  <c r="S62" i="4" l="1"/>
  <c r="W62" i="4" s="1"/>
  <c r="R62" i="4"/>
  <c r="V62" i="4" s="1"/>
  <c r="Q62" i="4"/>
  <c r="U62" i="4" s="1"/>
  <c r="P62" i="4"/>
  <c r="T62" i="4" s="1"/>
  <c r="M63" i="4"/>
  <c r="O63" i="4" s="1"/>
  <c r="N64" i="4"/>
  <c r="M64" i="4" l="1"/>
  <c r="O64" i="4" s="1"/>
  <c r="N65" i="4"/>
  <c r="S63" i="4"/>
  <c r="W63" i="4" s="1"/>
  <c r="R63" i="4"/>
  <c r="V63" i="4" s="1"/>
  <c r="P63" i="4"/>
  <c r="T63" i="4" s="1"/>
  <c r="Q63" i="4"/>
  <c r="U63" i="4" s="1"/>
  <c r="N66" i="4" l="1"/>
  <c r="M65" i="4"/>
  <c r="O65" i="4" s="1"/>
  <c r="R64" i="4"/>
  <c r="V64" i="4" s="1"/>
  <c r="S64" i="4"/>
  <c r="W64" i="4" s="1"/>
  <c r="Q64" i="4"/>
  <c r="U64" i="4" s="1"/>
  <c r="P64" i="4"/>
  <c r="T64" i="4" s="1"/>
  <c r="R65" i="4" l="1"/>
  <c r="V65" i="4" s="1"/>
  <c r="S65" i="4"/>
  <c r="W65" i="4" s="1"/>
  <c r="P65" i="4"/>
  <c r="T65" i="4" s="1"/>
  <c r="Q65" i="4"/>
  <c r="U65" i="4" s="1"/>
  <c r="M66" i="4"/>
  <c r="O66" i="4" s="1"/>
  <c r="N67" i="4"/>
  <c r="M67" i="4" l="1"/>
  <c r="O67" i="4" s="1"/>
  <c r="N68" i="4"/>
  <c r="R66" i="4"/>
  <c r="V66" i="4" s="1"/>
  <c r="S66" i="4"/>
  <c r="W66" i="4" s="1"/>
  <c r="Q66" i="4"/>
  <c r="U66" i="4" s="1"/>
  <c r="P66" i="4"/>
  <c r="T66" i="4" s="1"/>
  <c r="N69" i="4" l="1"/>
  <c r="M68" i="4"/>
  <c r="O68" i="4" s="1"/>
  <c r="S67" i="4"/>
  <c r="W67" i="4" s="1"/>
  <c r="R67" i="4"/>
  <c r="V67" i="4" s="1"/>
  <c r="P67" i="4"/>
  <c r="T67" i="4" s="1"/>
  <c r="Q67" i="4"/>
  <c r="U67" i="4" s="1"/>
  <c r="S68" i="4" l="1"/>
  <c r="W68" i="4" s="1"/>
  <c r="R68" i="4"/>
  <c r="V68" i="4" s="1"/>
  <c r="P68" i="4"/>
  <c r="T68" i="4" s="1"/>
  <c r="Q68" i="4"/>
  <c r="U68" i="4" s="1"/>
  <c r="M69" i="4"/>
  <c r="O69" i="4" s="1"/>
  <c r="N70" i="4"/>
  <c r="M70" i="4" l="1"/>
  <c r="O70" i="4" s="1"/>
  <c r="N71" i="4"/>
  <c r="S69" i="4"/>
  <c r="W69" i="4" s="1"/>
  <c r="R69" i="4"/>
  <c r="V69" i="4" s="1"/>
  <c r="Q69" i="4"/>
  <c r="U69" i="4" s="1"/>
  <c r="P69" i="4"/>
  <c r="T69" i="4" s="1"/>
  <c r="N72" i="4" l="1"/>
  <c r="M71" i="4"/>
  <c r="O71" i="4" s="1"/>
  <c r="R70" i="4"/>
  <c r="V70" i="4" s="1"/>
  <c r="S70" i="4"/>
  <c r="W70" i="4" s="1"/>
  <c r="P70" i="4"/>
  <c r="T70" i="4" s="1"/>
  <c r="Q70" i="4"/>
  <c r="U70" i="4" s="1"/>
  <c r="R71" i="4" l="1"/>
  <c r="V71" i="4" s="1"/>
  <c r="S71" i="4"/>
  <c r="W71" i="4" s="1"/>
  <c r="Q71" i="4"/>
  <c r="U71" i="4" s="1"/>
  <c r="P71" i="4"/>
  <c r="T71" i="4" s="1"/>
  <c r="M72" i="4"/>
  <c r="O72" i="4" s="1"/>
  <c r="N73" i="4"/>
  <c r="M73" i="4" l="1"/>
  <c r="O73" i="4" s="1"/>
  <c r="N74" i="4"/>
  <c r="R72" i="4"/>
  <c r="V72" i="4" s="1"/>
  <c r="S72" i="4"/>
  <c r="W72" i="4" s="1"/>
  <c r="P72" i="4"/>
  <c r="T72" i="4" s="1"/>
  <c r="Q72" i="4"/>
  <c r="U72" i="4" s="1"/>
  <c r="M74" i="4" l="1"/>
  <c r="O74" i="4" s="1"/>
  <c r="N75" i="4"/>
  <c r="R73" i="4"/>
  <c r="V73" i="4" s="1"/>
  <c r="S73" i="4"/>
  <c r="W73" i="4" s="1"/>
  <c r="P73" i="4"/>
  <c r="T73" i="4" s="1"/>
  <c r="Q73" i="4"/>
  <c r="U73" i="4" s="1"/>
  <c r="N76" i="4" l="1"/>
  <c r="M75" i="4"/>
  <c r="O75" i="4" s="1"/>
  <c r="S74" i="4"/>
  <c r="W74" i="4" s="1"/>
  <c r="R74" i="4"/>
  <c r="V74" i="4" s="1"/>
  <c r="Q74" i="4"/>
  <c r="U74" i="4" s="1"/>
  <c r="P74" i="4"/>
  <c r="T74" i="4" s="1"/>
  <c r="S75" i="4" l="1"/>
  <c r="W75" i="4" s="1"/>
  <c r="R75" i="4"/>
  <c r="V75" i="4" s="1"/>
  <c r="P75" i="4"/>
  <c r="T75" i="4" s="1"/>
  <c r="Q75" i="4"/>
  <c r="U75" i="4" s="1"/>
  <c r="N77" i="4"/>
  <c r="M76" i="4"/>
  <c r="O76" i="4" s="1"/>
  <c r="S76" i="4" l="1"/>
  <c r="W76" i="4" s="1"/>
  <c r="R76" i="4"/>
  <c r="V76" i="4" s="1"/>
  <c r="P76" i="4"/>
  <c r="T76" i="4" s="1"/>
  <c r="Q76" i="4"/>
  <c r="U76" i="4" s="1"/>
  <c r="M77" i="4"/>
  <c r="O77" i="4" s="1"/>
  <c r="N78" i="4"/>
  <c r="N79" i="4" l="1"/>
  <c r="M78" i="4"/>
  <c r="O78" i="4" s="1"/>
  <c r="S77" i="4"/>
  <c r="W77" i="4" s="1"/>
  <c r="R77" i="4"/>
  <c r="V77" i="4" s="1"/>
  <c r="P77" i="4"/>
  <c r="T77" i="4" s="1"/>
  <c r="Q77" i="4"/>
  <c r="U77" i="4" s="1"/>
  <c r="R78" i="4" l="1"/>
  <c r="V78" i="4" s="1"/>
  <c r="S78" i="4"/>
  <c r="W78" i="4" s="1"/>
  <c r="Q78" i="4"/>
  <c r="U78" i="4" s="1"/>
  <c r="P78" i="4"/>
  <c r="T78" i="4" s="1"/>
  <c r="N80" i="4"/>
  <c r="M79" i="4"/>
  <c r="O79" i="4" s="1"/>
  <c r="R79" i="4" l="1"/>
  <c r="V79" i="4" s="1"/>
  <c r="S79" i="4"/>
  <c r="W79" i="4" s="1"/>
  <c r="Q79" i="4"/>
  <c r="U79" i="4" s="1"/>
  <c r="P79" i="4"/>
  <c r="T79" i="4" s="1"/>
  <c r="M80" i="4"/>
  <c r="O80" i="4" s="1"/>
  <c r="N81" i="4"/>
  <c r="N82" i="4" l="1"/>
  <c r="M81" i="4"/>
  <c r="O81" i="4" s="1"/>
  <c r="R80" i="4"/>
  <c r="V80" i="4" s="1"/>
  <c r="S80" i="4"/>
  <c r="W80" i="4" s="1"/>
  <c r="P80" i="4"/>
  <c r="T80" i="4" s="1"/>
  <c r="Q80" i="4"/>
  <c r="U80" i="4" s="1"/>
  <c r="R81" i="4" l="1"/>
  <c r="V81" i="4" s="1"/>
  <c r="S81" i="4"/>
  <c r="W81" i="4" s="1"/>
  <c r="P81" i="4"/>
  <c r="T81" i="4" s="1"/>
  <c r="Q81" i="4"/>
  <c r="U81" i="4" s="1"/>
  <c r="M82" i="4"/>
  <c r="O82" i="4" s="1"/>
  <c r="N83" i="4"/>
  <c r="N84" i="4" l="1"/>
  <c r="M83" i="4"/>
  <c r="O83" i="4" s="1"/>
  <c r="S82" i="4"/>
  <c r="W82" i="4" s="1"/>
  <c r="R82" i="4"/>
  <c r="V82" i="4" s="1"/>
  <c r="Q82" i="4"/>
  <c r="U82" i="4" s="1"/>
  <c r="P82" i="4"/>
  <c r="T82" i="4" s="1"/>
  <c r="S83" i="4" l="1"/>
  <c r="W83" i="4" s="1"/>
  <c r="R83" i="4"/>
  <c r="V83" i="4" s="1"/>
  <c r="Q83" i="4"/>
  <c r="U83" i="4" s="1"/>
  <c r="P83" i="4"/>
  <c r="T83" i="4" s="1"/>
  <c r="N85" i="4"/>
  <c r="M84" i="4"/>
  <c r="O84" i="4" s="1"/>
  <c r="S84" i="4" l="1"/>
  <c r="W84" i="4" s="1"/>
  <c r="R84" i="4"/>
  <c r="V84" i="4" s="1"/>
  <c r="P84" i="4"/>
  <c r="T84" i="4" s="1"/>
  <c r="Q84" i="4"/>
  <c r="U84" i="4" s="1"/>
  <c r="N86" i="4"/>
  <c r="M85" i="4"/>
  <c r="O85" i="4" s="1"/>
  <c r="R85" i="4" l="1"/>
  <c r="V85" i="4" s="1"/>
  <c r="S85" i="4"/>
  <c r="W85" i="4" s="1"/>
  <c r="P85" i="4"/>
  <c r="T85" i="4" s="1"/>
  <c r="Q85" i="4"/>
  <c r="U85" i="4" s="1"/>
  <c r="M86" i="4"/>
  <c r="O86" i="4" s="1"/>
  <c r="N87" i="4"/>
  <c r="M87" i="4" l="1"/>
  <c r="O87" i="4" s="1"/>
  <c r="N88" i="4"/>
  <c r="R86" i="4"/>
  <c r="V86" i="4" s="1"/>
  <c r="S86" i="4"/>
  <c r="W86" i="4" s="1"/>
  <c r="P86" i="4"/>
  <c r="T86" i="4" s="1"/>
  <c r="Q86" i="4"/>
  <c r="U86" i="4" s="1"/>
  <c r="N89" i="4" l="1"/>
  <c r="M88" i="4"/>
  <c r="O88" i="4" s="1"/>
  <c r="R87" i="4"/>
  <c r="V87" i="4" s="1"/>
  <c r="S87" i="4"/>
  <c r="W87" i="4" s="1"/>
  <c r="Q87" i="4"/>
  <c r="U87" i="4" s="1"/>
  <c r="P87" i="4"/>
  <c r="T87" i="4" s="1"/>
  <c r="R88" i="4" l="1"/>
  <c r="V88" i="4" s="1"/>
  <c r="S88" i="4"/>
  <c r="W88" i="4" s="1"/>
  <c r="P88" i="4"/>
  <c r="T88" i="4" s="1"/>
  <c r="Q88" i="4"/>
  <c r="U88" i="4" s="1"/>
  <c r="N90" i="4"/>
  <c r="M89" i="4"/>
  <c r="O89" i="4" s="1"/>
  <c r="R89" i="4" l="1"/>
  <c r="V89" i="4" s="1"/>
  <c r="S89" i="4"/>
  <c r="W89" i="4" s="1"/>
  <c r="Q89" i="4"/>
  <c r="U89" i="4" s="1"/>
  <c r="P89" i="4"/>
  <c r="T89" i="4" s="1"/>
  <c r="M90" i="4"/>
  <c r="O90" i="4" s="1"/>
  <c r="N91" i="4"/>
  <c r="N92" i="4" l="1"/>
  <c r="M91" i="4"/>
  <c r="O91" i="4" s="1"/>
  <c r="R90" i="4"/>
  <c r="V90" i="4" s="1"/>
  <c r="S90" i="4"/>
  <c r="W90" i="4" s="1"/>
  <c r="Q90" i="4"/>
  <c r="U90" i="4" s="1"/>
  <c r="P90" i="4"/>
  <c r="T90" i="4" s="1"/>
  <c r="S91" i="4" l="1"/>
  <c r="W91" i="4" s="1"/>
  <c r="R91" i="4"/>
  <c r="V91" i="4" s="1"/>
  <c r="P91" i="4"/>
  <c r="T91" i="4" s="1"/>
  <c r="Q91" i="4"/>
  <c r="U91" i="4" s="1"/>
  <c r="N93" i="4"/>
  <c r="M92" i="4"/>
  <c r="O92" i="4" s="1"/>
  <c r="S92" i="4" l="1"/>
  <c r="W92" i="4" s="1"/>
  <c r="R92" i="4"/>
  <c r="V92" i="4" s="1"/>
  <c r="Q92" i="4"/>
  <c r="U92" i="4" s="1"/>
  <c r="P92" i="4"/>
  <c r="T92" i="4" s="1"/>
  <c r="N94" i="4"/>
  <c r="M93" i="4"/>
  <c r="O93" i="4" s="1"/>
  <c r="S93" i="4" l="1"/>
  <c r="W93" i="4" s="1"/>
  <c r="R93" i="4"/>
  <c r="V93" i="4" s="1"/>
  <c r="P93" i="4"/>
  <c r="T93" i="4" s="1"/>
  <c r="Q93" i="4"/>
  <c r="U93" i="4" s="1"/>
  <c r="N95" i="4"/>
  <c r="M94" i="4"/>
  <c r="O94" i="4" s="1"/>
  <c r="R94" i="4" l="1"/>
  <c r="V94" i="4" s="1"/>
  <c r="S94" i="4"/>
  <c r="W94" i="4" s="1"/>
  <c r="Q94" i="4"/>
  <c r="U94" i="4" s="1"/>
  <c r="P94" i="4"/>
  <c r="T94" i="4" s="1"/>
  <c r="M95" i="4"/>
  <c r="O95" i="4" s="1"/>
  <c r="N96" i="4"/>
  <c r="R95" i="4" l="1"/>
  <c r="V95" i="4" s="1"/>
  <c r="S95" i="4"/>
  <c r="W95" i="4" s="1"/>
  <c r="P95" i="4"/>
  <c r="T95" i="4" s="1"/>
  <c r="Q95" i="4"/>
  <c r="U95" i="4" s="1"/>
  <c r="M96" i="4"/>
  <c r="O96" i="4" s="1"/>
  <c r="N97" i="4"/>
  <c r="M97" i="4" l="1"/>
  <c r="O97" i="4" s="1"/>
  <c r="N98" i="4"/>
  <c r="R96" i="4"/>
  <c r="V96" i="4" s="1"/>
  <c r="S96" i="4"/>
  <c r="W96" i="4" s="1"/>
  <c r="Q96" i="4"/>
  <c r="U96" i="4" s="1"/>
  <c r="P96" i="4"/>
  <c r="T96" i="4" s="1"/>
  <c r="M98" i="4" l="1"/>
  <c r="O98" i="4" s="1"/>
  <c r="N99" i="4"/>
  <c r="R97" i="4"/>
  <c r="V97" i="4" s="1"/>
  <c r="S97" i="4"/>
  <c r="W97" i="4" s="1"/>
  <c r="P97" i="4"/>
  <c r="T97" i="4" s="1"/>
  <c r="Q97" i="4"/>
  <c r="U97" i="4" s="1"/>
  <c r="N100" i="4" l="1"/>
  <c r="M99" i="4"/>
  <c r="O99" i="4" s="1"/>
  <c r="R98" i="4"/>
  <c r="V98" i="4" s="1"/>
  <c r="S98" i="4"/>
  <c r="W98" i="4" s="1"/>
  <c r="Q98" i="4"/>
  <c r="U98" i="4" s="1"/>
  <c r="P98" i="4"/>
  <c r="T98" i="4" s="1"/>
  <c r="R99" i="4" l="1"/>
  <c r="V99" i="4" s="1"/>
  <c r="S99" i="4"/>
  <c r="W99" i="4" s="1"/>
  <c r="P99" i="4"/>
  <c r="T99" i="4" s="1"/>
  <c r="Q99" i="4"/>
  <c r="U99" i="4" s="1"/>
  <c r="N101" i="4"/>
  <c r="M100" i="4"/>
  <c r="O100" i="4" s="1"/>
  <c r="S100" i="4" l="1"/>
  <c r="W100" i="4" s="1"/>
  <c r="R100" i="4"/>
  <c r="V100" i="4" s="1"/>
  <c r="Q100" i="4"/>
  <c r="U100" i="4" s="1"/>
  <c r="P100" i="4"/>
  <c r="T100" i="4" s="1"/>
  <c r="M101" i="4"/>
  <c r="O101" i="4" s="1"/>
  <c r="N102" i="4"/>
  <c r="N103" i="4" l="1"/>
  <c r="M102" i="4"/>
  <c r="O102" i="4" s="1"/>
  <c r="S101" i="4"/>
  <c r="W101" i="4" s="1"/>
  <c r="R101" i="4"/>
  <c r="V101" i="4" s="1"/>
  <c r="P101" i="4"/>
  <c r="T101" i="4" s="1"/>
  <c r="Q101" i="4"/>
  <c r="U101" i="4" s="1"/>
  <c r="R102" i="4" l="1"/>
  <c r="V102" i="4" s="1"/>
  <c r="S102" i="4"/>
  <c r="W102" i="4" s="1"/>
  <c r="Q102" i="4"/>
  <c r="U102" i="4" s="1"/>
  <c r="P102" i="4"/>
  <c r="T102" i="4" s="1"/>
  <c r="N104" i="4"/>
  <c r="M103" i="4"/>
  <c r="O103" i="4" s="1"/>
  <c r="R103" i="4" l="1"/>
  <c r="V103" i="4" s="1"/>
  <c r="S103" i="4"/>
  <c r="W103" i="4" s="1"/>
  <c r="Q103" i="4"/>
  <c r="U103" i="4" s="1"/>
  <c r="P103" i="4"/>
  <c r="T103" i="4" s="1"/>
  <c r="M104" i="4"/>
  <c r="O104" i="4" s="1"/>
  <c r="N105" i="4"/>
  <c r="N106" i="4" l="1"/>
  <c r="M105" i="4"/>
  <c r="O105" i="4" s="1"/>
  <c r="S104" i="4"/>
  <c r="W104" i="4" s="1"/>
  <c r="R104" i="4"/>
  <c r="V104" i="4" s="1"/>
  <c r="P104" i="4"/>
  <c r="T104" i="4" s="1"/>
  <c r="Q104" i="4"/>
  <c r="U104" i="4" s="1"/>
  <c r="R105" i="4" l="1"/>
  <c r="V105" i="4" s="1"/>
  <c r="S105" i="4"/>
  <c r="W105" i="4" s="1"/>
  <c r="Q105" i="4"/>
  <c r="U105" i="4" s="1"/>
  <c r="P105" i="4"/>
  <c r="T105" i="4" s="1"/>
  <c r="M106" i="4"/>
  <c r="O106" i="4" s="1"/>
  <c r="N107" i="4"/>
  <c r="M107" i="4" l="1"/>
  <c r="O107" i="4" s="1"/>
  <c r="N108" i="4"/>
  <c r="R106" i="4"/>
  <c r="V106" i="4" s="1"/>
  <c r="S106" i="4"/>
  <c r="W106" i="4" s="1"/>
  <c r="Q106" i="4"/>
  <c r="U106" i="4" s="1"/>
  <c r="P106" i="4"/>
  <c r="T106" i="4" s="1"/>
  <c r="N109" i="4" l="1"/>
  <c r="M108" i="4"/>
  <c r="O108" i="4" s="1"/>
  <c r="R107" i="4"/>
  <c r="V107" i="4" s="1"/>
  <c r="S107" i="4"/>
  <c r="W107" i="4" s="1"/>
  <c r="P107" i="4"/>
  <c r="T107" i="4" s="1"/>
  <c r="Q107" i="4"/>
  <c r="U107" i="4" s="1"/>
  <c r="S108" i="4" l="1"/>
  <c r="W108" i="4" s="1"/>
  <c r="R108" i="4"/>
  <c r="V108" i="4" s="1"/>
  <c r="P108" i="4"/>
  <c r="T108" i="4" s="1"/>
  <c r="Q108" i="4"/>
  <c r="U108" i="4" s="1"/>
  <c r="M109" i="4"/>
  <c r="O109" i="4" s="1"/>
  <c r="N110" i="4"/>
  <c r="R109" i="4" l="1"/>
  <c r="V109" i="4" s="1"/>
  <c r="S109" i="4"/>
  <c r="W109" i="4" s="1"/>
  <c r="P109" i="4"/>
  <c r="T109" i="4" s="1"/>
  <c r="Q109" i="4"/>
  <c r="U109" i="4" s="1"/>
  <c r="N111" i="4"/>
  <c r="M110" i="4"/>
  <c r="O110" i="4" s="1"/>
  <c r="R110" i="4" l="1"/>
  <c r="V110" i="4" s="1"/>
  <c r="S110" i="4"/>
  <c r="W110" i="4" s="1"/>
  <c r="Q110" i="4"/>
  <c r="U110" i="4" s="1"/>
  <c r="P110" i="4"/>
  <c r="T110" i="4" s="1"/>
  <c r="M111" i="4"/>
  <c r="O111" i="4" s="1"/>
  <c r="N112" i="4"/>
  <c r="R111" i="4" l="1"/>
  <c r="V111" i="4" s="1"/>
  <c r="S111" i="4"/>
  <c r="W111" i="4" s="1"/>
  <c r="Q111" i="4"/>
  <c r="U111" i="4" s="1"/>
  <c r="P111" i="4"/>
  <c r="T111" i="4" s="1"/>
  <c r="M112" i="4"/>
  <c r="O112" i="4" s="1"/>
  <c r="N113" i="4"/>
  <c r="M113" i="4" l="1"/>
  <c r="O113" i="4" s="1"/>
  <c r="N114" i="4"/>
  <c r="R112" i="4"/>
  <c r="V112" i="4" s="1"/>
  <c r="S112" i="4"/>
  <c r="W112" i="4" s="1"/>
  <c r="P112" i="4"/>
  <c r="T112" i="4" s="1"/>
  <c r="Q112" i="4"/>
  <c r="U112" i="4" s="1"/>
  <c r="M114" i="4" l="1"/>
  <c r="O114" i="4" s="1"/>
  <c r="N115" i="4"/>
  <c r="Q113" i="4"/>
  <c r="U113" i="4" s="1"/>
  <c r="S113" i="4"/>
  <c r="W113" i="4" s="1"/>
  <c r="R113" i="4"/>
  <c r="V113" i="4" s="1"/>
  <c r="P113" i="4"/>
  <c r="T113" i="4" s="1"/>
  <c r="M115" i="4" l="1"/>
  <c r="O115" i="4" s="1"/>
  <c r="N116" i="4"/>
  <c r="Q114" i="4"/>
  <c r="U114" i="4" s="1"/>
  <c r="S114" i="4"/>
  <c r="W114" i="4" s="1"/>
  <c r="R114" i="4"/>
  <c r="V114" i="4" s="1"/>
  <c r="P114" i="4"/>
  <c r="T114" i="4" s="1"/>
  <c r="M116" i="4" l="1"/>
  <c r="O116" i="4" s="1"/>
  <c r="N117" i="4"/>
  <c r="R115" i="4"/>
  <c r="V115" i="4" s="1"/>
  <c r="S115" i="4"/>
  <c r="W115" i="4" s="1"/>
  <c r="Q115" i="4"/>
  <c r="U115" i="4" s="1"/>
  <c r="P115" i="4"/>
  <c r="T115" i="4" s="1"/>
  <c r="N118" i="4" l="1"/>
  <c r="M117" i="4"/>
  <c r="O117" i="4" s="1"/>
  <c r="R116" i="4"/>
  <c r="V116" i="4" s="1"/>
  <c r="S116" i="4"/>
  <c r="W116" i="4" s="1"/>
  <c r="Q116" i="4"/>
  <c r="U116" i="4" s="1"/>
  <c r="P116" i="4"/>
  <c r="T116" i="4" s="1"/>
  <c r="S117" i="4" l="1"/>
  <c r="W117" i="4" s="1"/>
  <c r="R117" i="4"/>
  <c r="V117" i="4" s="1"/>
  <c r="Q117" i="4"/>
  <c r="U117" i="4" s="1"/>
  <c r="P117" i="4"/>
  <c r="T117" i="4" s="1"/>
  <c r="M118" i="4"/>
  <c r="O118" i="4" s="1"/>
  <c r="N119" i="4"/>
  <c r="S118" i="4" l="1"/>
  <c r="W118" i="4" s="1"/>
  <c r="R118" i="4"/>
  <c r="V118" i="4" s="1"/>
  <c r="Q118" i="4"/>
  <c r="U118" i="4" s="1"/>
  <c r="P118" i="4"/>
  <c r="T118" i="4" s="1"/>
  <c r="M119" i="4"/>
  <c r="O119" i="4" s="1"/>
  <c r="N120" i="4"/>
  <c r="N121" i="4" l="1"/>
  <c r="M120" i="4"/>
  <c r="O120" i="4" s="1"/>
  <c r="S119" i="4"/>
  <c r="W119" i="4" s="1"/>
  <c r="R119" i="4"/>
  <c r="V119" i="4" s="1"/>
  <c r="P119" i="4"/>
  <c r="T119" i="4" s="1"/>
  <c r="Q119" i="4"/>
  <c r="U119" i="4" s="1"/>
  <c r="S120" i="4" l="1"/>
  <c r="W120" i="4" s="1"/>
  <c r="R120" i="4"/>
  <c r="V120" i="4" s="1"/>
  <c r="P120" i="4"/>
  <c r="T120" i="4" s="1"/>
  <c r="Q120" i="4"/>
  <c r="U120" i="4" s="1"/>
  <c r="M121" i="4"/>
  <c r="O121" i="4" s="1"/>
  <c r="N122" i="4"/>
  <c r="M122" i="4" l="1"/>
  <c r="O122" i="4" s="1"/>
  <c r="N123" i="4"/>
  <c r="R121" i="4"/>
  <c r="V121" i="4" s="1"/>
  <c r="S121" i="4"/>
  <c r="W121" i="4" s="1"/>
  <c r="P121" i="4"/>
  <c r="T121" i="4" s="1"/>
  <c r="Q121" i="4"/>
  <c r="U121" i="4" s="1"/>
  <c r="M123" i="4" l="1"/>
  <c r="O123" i="4" s="1"/>
  <c r="N124" i="4"/>
  <c r="R122" i="4"/>
  <c r="V122" i="4" s="1"/>
  <c r="S122" i="4"/>
  <c r="W122" i="4" s="1"/>
  <c r="P122" i="4"/>
  <c r="T122" i="4" s="1"/>
  <c r="Q122" i="4"/>
  <c r="U122" i="4" s="1"/>
  <c r="M124" i="4" l="1"/>
  <c r="O124" i="4" s="1"/>
  <c r="N125" i="4"/>
  <c r="R123" i="4"/>
  <c r="V123" i="4" s="1"/>
  <c r="S123" i="4"/>
  <c r="W123" i="4" s="1"/>
  <c r="Q123" i="4"/>
  <c r="U123" i="4" s="1"/>
  <c r="P123" i="4"/>
  <c r="T123" i="4" s="1"/>
  <c r="N126" i="4" l="1"/>
  <c r="M125" i="4"/>
  <c r="O125" i="4" s="1"/>
  <c r="S124" i="4"/>
  <c r="W124" i="4" s="1"/>
  <c r="R124" i="4"/>
  <c r="V124" i="4" s="1"/>
  <c r="Q124" i="4"/>
  <c r="U124" i="4" s="1"/>
  <c r="P124" i="4"/>
  <c r="T124" i="4" s="1"/>
  <c r="R125" i="4" l="1"/>
  <c r="V125" i="4" s="1"/>
  <c r="S125" i="4"/>
  <c r="W125" i="4" s="1"/>
  <c r="Q125" i="4"/>
  <c r="U125" i="4" s="1"/>
  <c r="P125" i="4"/>
  <c r="T125" i="4" s="1"/>
  <c r="N127" i="4"/>
  <c r="M126" i="4"/>
  <c r="O126" i="4" s="1"/>
  <c r="R126" i="4" l="1"/>
  <c r="V126" i="4" s="1"/>
  <c r="S126" i="4"/>
  <c r="W126" i="4" s="1"/>
  <c r="P126" i="4"/>
  <c r="T126" i="4" s="1"/>
  <c r="Q126" i="4"/>
  <c r="U126" i="4" s="1"/>
  <c r="M127" i="4"/>
  <c r="O127" i="4" s="1"/>
  <c r="N128" i="4"/>
  <c r="N129" i="4" l="1"/>
  <c r="M128" i="4"/>
  <c r="O128" i="4" s="1"/>
  <c r="S127" i="4"/>
  <c r="W127" i="4" s="1"/>
  <c r="R127" i="4"/>
  <c r="V127" i="4" s="1"/>
  <c r="Q127" i="4"/>
  <c r="U127" i="4" s="1"/>
  <c r="P127" i="4"/>
  <c r="T127" i="4" s="1"/>
  <c r="S128" i="4" l="1"/>
  <c r="W128" i="4" s="1"/>
  <c r="R128" i="4"/>
  <c r="V128" i="4" s="1"/>
  <c r="Q128" i="4"/>
  <c r="U128" i="4" s="1"/>
  <c r="P128" i="4"/>
  <c r="T128" i="4" s="1"/>
  <c r="M129" i="4"/>
  <c r="O129" i="4" s="1"/>
  <c r="N130" i="4"/>
  <c r="R129" i="4" l="1"/>
  <c r="V129" i="4" s="1"/>
  <c r="S129" i="4"/>
  <c r="W129" i="4" s="1"/>
  <c r="Q129" i="4"/>
  <c r="U129" i="4" s="1"/>
  <c r="P129" i="4"/>
  <c r="T129" i="4" s="1"/>
  <c r="M130" i="4"/>
  <c r="O130" i="4" s="1"/>
  <c r="N131" i="4"/>
  <c r="N132" i="4" l="1"/>
  <c r="M131" i="4"/>
  <c r="O131" i="4" s="1"/>
  <c r="R130" i="4"/>
  <c r="V130" i="4" s="1"/>
  <c r="S130" i="4"/>
  <c r="W130" i="4" s="1"/>
  <c r="Q130" i="4"/>
  <c r="U130" i="4" s="1"/>
  <c r="P130" i="4"/>
  <c r="T130" i="4" s="1"/>
  <c r="R131" i="4" l="1"/>
  <c r="V131" i="4" s="1"/>
  <c r="S131" i="4"/>
  <c r="W131" i="4" s="1"/>
  <c r="P131" i="4"/>
  <c r="T131" i="4" s="1"/>
  <c r="Q131" i="4"/>
  <c r="U131" i="4" s="1"/>
  <c r="M132" i="4"/>
  <c r="O132" i="4" s="1"/>
  <c r="N133" i="4"/>
  <c r="R132" i="4" l="1"/>
  <c r="V132" i="4" s="1"/>
  <c r="S132" i="4"/>
  <c r="W132" i="4" s="1"/>
  <c r="Q132" i="4"/>
  <c r="U132" i="4" s="1"/>
  <c r="P132" i="4"/>
  <c r="T132" i="4" s="1"/>
  <c r="N134" i="4"/>
  <c r="M133" i="4"/>
  <c r="O133" i="4" s="1"/>
  <c r="N135" i="4" l="1"/>
  <c r="M134" i="4"/>
  <c r="O134" i="4" s="1"/>
  <c r="R133" i="4"/>
  <c r="V133" i="4" s="1"/>
  <c r="S133" i="4"/>
  <c r="W133" i="4" s="1"/>
  <c r="Q133" i="4"/>
  <c r="U133" i="4" s="1"/>
  <c r="P133" i="4"/>
  <c r="T133" i="4" s="1"/>
  <c r="R134" i="4" l="1"/>
  <c r="V134" i="4" s="1"/>
  <c r="S134" i="4"/>
  <c r="W134" i="4" s="1"/>
  <c r="Q134" i="4"/>
  <c r="U134" i="4" s="1"/>
  <c r="P134" i="4"/>
  <c r="T134" i="4" s="1"/>
  <c r="M135" i="4"/>
  <c r="O135" i="4" s="1"/>
  <c r="N136" i="4"/>
  <c r="N137" i="4" l="1"/>
  <c r="M136" i="4"/>
  <c r="O136" i="4" s="1"/>
  <c r="R135" i="4"/>
  <c r="V135" i="4" s="1"/>
  <c r="S135" i="4"/>
  <c r="W135" i="4" s="1"/>
  <c r="Q135" i="4"/>
  <c r="U135" i="4" s="1"/>
  <c r="P135" i="4"/>
  <c r="T135" i="4" s="1"/>
  <c r="R136" i="4" l="1"/>
  <c r="V136" i="4" s="1"/>
  <c r="S136" i="4"/>
  <c r="W136" i="4" s="1"/>
  <c r="P136" i="4"/>
  <c r="T136" i="4" s="1"/>
  <c r="Q136" i="4"/>
  <c r="U136" i="4" s="1"/>
  <c r="M137" i="4"/>
  <c r="O137" i="4" s="1"/>
  <c r="N138" i="4"/>
  <c r="M138" i="4" l="1"/>
  <c r="O138" i="4" s="1"/>
  <c r="N139" i="4"/>
  <c r="R137" i="4"/>
  <c r="V137" i="4" s="1"/>
  <c r="S137" i="4"/>
  <c r="W137" i="4" s="1"/>
  <c r="Q137" i="4"/>
  <c r="U137" i="4" s="1"/>
  <c r="P137" i="4"/>
  <c r="T137" i="4" s="1"/>
  <c r="M139" i="4" l="1"/>
  <c r="O139" i="4" s="1"/>
  <c r="N140" i="4"/>
  <c r="S138" i="4"/>
  <c r="W138" i="4" s="1"/>
  <c r="R138" i="4"/>
  <c r="V138" i="4" s="1"/>
  <c r="P138" i="4"/>
  <c r="T138" i="4" s="1"/>
  <c r="Q138" i="4"/>
  <c r="U138" i="4" s="1"/>
  <c r="M140" i="4" l="1"/>
  <c r="O140" i="4" s="1"/>
  <c r="N141" i="4"/>
  <c r="S139" i="4"/>
  <c r="W139" i="4" s="1"/>
  <c r="R139" i="4"/>
  <c r="V139" i="4" s="1"/>
  <c r="Q139" i="4"/>
  <c r="U139" i="4" s="1"/>
  <c r="P139" i="4"/>
  <c r="T139" i="4" s="1"/>
  <c r="N142" i="4" l="1"/>
  <c r="M141" i="4"/>
  <c r="O141" i="4" s="1"/>
  <c r="R140" i="4"/>
  <c r="V140" i="4" s="1"/>
  <c r="S140" i="4"/>
  <c r="W140" i="4" s="1"/>
  <c r="P140" i="4"/>
  <c r="T140" i="4" s="1"/>
  <c r="Q140" i="4"/>
  <c r="U140" i="4" s="1"/>
  <c r="R141" i="4" l="1"/>
  <c r="V141" i="4" s="1"/>
  <c r="S141" i="4"/>
  <c r="W141" i="4" s="1"/>
  <c r="P141" i="4"/>
  <c r="T141" i="4" s="1"/>
  <c r="Q141" i="4"/>
  <c r="U141" i="4" s="1"/>
  <c r="N143" i="4"/>
  <c r="M142" i="4"/>
  <c r="O142" i="4" s="1"/>
  <c r="R142" i="4" l="1"/>
  <c r="V142" i="4" s="1"/>
  <c r="S142" i="4"/>
  <c r="W142" i="4" s="1"/>
  <c r="Q142" i="4"/>
  <c r="U142" i="4" s="1"/>
  <c r="P142" i="4"/>
  <c r="T142" i="4" s="1"/>
  <c r="M143" i="4"/>
  <c r="O143" i="4" s="1"/>
  <c r="N144" i="4"/>
  <c r="N145" i="4" l="1"/>
  <c r="M144" i="4"/>
  <c r="O144" i="4" s="1"/>
  <c r="R143" i="4"/>
  <c r="V143" i="4" s="1"/>
  <c r="S143" i="4"/>
  <c r="W143" i="4" s="1"/>
  <c r="Q143" i="4"/>
  <c r="U143" i="4" s="1"/>
  <c r="P143" i="4"/>
  <c r="T143" i="4" s="1"/>
  <c r="R144" i="4" l="1"/>
  <c r="V144" i="4" s="1"/>
  <c r="S144" i="4"/>
  <c r="W144" i="4" s="1"/>
  <c r="P144" i="4"/>
  <c r="T144" i="4" s="1"/>
  <c r="Q144" i="4"/>
  <c r="U144" i="4" s="1"/>
  <c r="M145" i="4"/>
  <c r="O145" i="4" s="1"/>
  <c r="N146" i="4"/>
  <c r="N147" i="4" l="1"/>
  <c r="M146" i="4"/>
  <c r="O146" i="4" s="1"/>
  <c r="S145" i="4"/>
  <c r="W145" i="4" s="1"/>
  <c r="R145" i="4"/>
  <c r="V145" i="4" s="1"/>
  <c r="P145" i="4"/>
  <c r="T145" i="4" s="1"/>
  <c r="Q145" i="4"/>
  <c r="U145" i="4" s="1"/>
  <c r="S146" i="4" l="1"/>
  <c r="W146" i="4" s="1"/>
  <c r="R146" i="4"/>
  <c r="V146" i="4" s="1"/>
  <c r="P146" i="4"/>
  <c r="T146" i="4" s="1"/>
  <c r="Q146" i="4"/>
  <c r="U146" i="4" s="1"/>
  <c r="N148" i="4"/>
  <c r="M147" i="4"/>
  <c r="O147" i="4" s="1"/>
  <c r="R147" i="4" l="1"/>
  <c r="V147" i="4" s="1"/>
  <c r="S147" i="4"/>
  <c r="W147" i="4" s="1"/>
  <c r="Q147" i="4"/>
  <c r="U147" i="4" s="1"/>
  <c r="P147" i="4"/>
  <c r="T147" i="4" s="1"/>
  <c r="M148" i="4"/>
  <c r="O148" i="4" s="1"/>
  <c r="N149" i="4"/>
  <c r="R148" i="4" l="1"/>
  <c r="V148" i="4" s="1"/>
  <c r="S148" i="4"/>
  <c r="W148" i="4" s="1"/>
  <c r="P148" i="4"/>
  <c r="T148" i="4" s="1"/>
  <c r="Q148" i="4"/>
  <c r="U148" i="4" s="1"/>
  <c r="N150" i="4"/>
  <c r="M149" i="4"/>
  <c r="O149" i="4" s="1"/>
  <c r="R149" i="4" l="1"/>
  <c r="V149" i="4" s="1"/>
  <c r="S149" i="4"/>
  <c r="W149" i="4" s="1"/>
  <c r="P149" i="4"/>
  <c r="T149" i="4" s="1"/>
  <c r="Q149" i="4"/>
  <c r="U149" i="4" s="1"/>
  <c r="N151" i="4"/>
  <c r="M150" i="4"/>
  <c r="O150" i="4" s="1"/>
  <c r="N152" i="4" l="1"/>
  <c r="M151" i="4"/>
  <c r="O151" i="4" s="1"/>
  <c r="R150" i="4"/>
  <c r="V150" i="4" s="1"/>
  <c r="S150" i="4"/>
  <c r="W150" i="4" s="1"/>
  <c r="P150" i="4"/>
  <c r="T150" i="4" s="1"/>
  <c r="Q150" i="4"/>
  <c r="U150" i="4" s="1"/>
  <c r="S151" i="4" l="1"/>
  <c r="W151" i="4" s="1"/>
  <c r="R151" i="4"/>
  <c r="V151" i="4" s="1"/>
  <c r="Q151" i="4"/>
  <c r="U151" i="4" s="1"/>
  <c r="P151" i="4"/>
  <c r="T151" i="4" s="1"/>
  <c r="M152" i="4"/>
  <c r="O152" i="4" s="1"/>
  <c r="N153" i="4"/>
  <c r="R152" i="4" l="1"/>
  <c r="V152" i="4" s="1"/>
  <c r="S152" i="4"/>
  <c r="W152" i="4" s="1"/>
  <c r="P152" i="4"/>
  <c r="T152" i="4" s="1"/>
  <c r="Q152" i="4"/>
  <c r="U152" i="4" s="1"/>
  <c r="M153" i="4"/>
  <c r="O153" i="4" s="1"/>
  <c r="N154" i="4"/>
  <c r="M154" i="4" l="1"/>
  <c r="O154" i="4" s="1"/>
  <c r="N155" i="4"/>
  <c r="R153" i="4"/>
  <c r="V153" i="4" s="1"/>
  <c r="S153" i="4"/>
  <c r="W153" i="4" s="1"/>
  <c r="Q153" i="4"/>
  <c r="U153" i="4" s="1"/>
  <c r="P153" i="4"/>
  <c r="T153" i="4" s="1"/>
  <c r="N156" i="4" l="1"/>
  <c r="M155" i="4"/>
  <c r="O155" i="4" s="1"/>
  <c r="R154" i="4"/>
  <c r="V154" i="4" s="1"/>
  <c r="S154" i="4"/>
  <c r="W154" i="4" s="1"/>
  <c r="P154" i="4"/>
  <c r="T154" i="4" s="1"/>
  <c r="Q154" i="4"/>
  <c r="U154" i="4" s="1"/>
  <c r="R155" i="4" l="1"/>
  <c r="V155" i="4" s="1"/>
  <c r="S155" i="4"/>
  <c r="W155" i="4" s="1"/>
  <c r="Q155" i="4"/>
  <c r="U155" i="4" s="1"/>
  <c r="P155" i="4"/>
  <c r="T155" i="4" s="1"/>
  <c r="M156" i="4"/>
  <c r="O156" i="4" s="1"/>
  <c r="N157" i="4"/>
  <c r="N158" i="4" l="1"/>
  <c r="M157" i="4"/>
  <c r="O157" i="4" s="1"/>
  <c r="S156" i="4"/>
  <c r="W156" i="4" s="1"/>
  <c r="R156" i="4"/>
  <c r="V156" i="4" s="1"/>
  <c r="P156" i="4"/>
  <c r="T156" i="4" s="1"/>
  <c r="Q156" i="4"/>
  <c r="U156" i="4" s="1"/>
  <c r="R157" i="4" l="1"/>
  <c r="V157" i="4" s="1"/>
  <c r="S157" i="4"/>
  <c r="W157" i="4" s="1"/>
  <c r="Q157" i="4"/>
  <c r="U157" i="4" s="1"/>
  <c r="P157" i="4"/>
  <c r="T157" i="4" s="1"/>
  <c r="N159" i="4"/>
  <c r="M158" i="4"/>
  <c r="O158" i="4" s="1"/>
  <c r="R158" i="4" l="1"/>
  <c r="V158" i="4" s="1"/>
  <c r="S158" i="4"/>
  <c r="W158" i="4" s="1"/>
  <c r="Q158" i="4"/>
  <c r="U158" i="4" s="1"/>
  <c r="P158" i="4"/>
  <c r="T158" i="4" s="1"/>
  <c r="N160" i="4"/>
  <c r="M159" i="4"/>
  <c r="O159" i="4" s="1"/>
  <c r="S159" i="4" l="1"/>
  <c r="W159" i="4" s="1"/>
  <c r="R159" i="4"/>
  <c r="V159" i="4" s="1"/>
  <c r="P159" i="4"/>
  <c r="T159" i="4" s="1"/>
  <c r="Q159" i="4"/>
  <c r="U159" i="4" s="1"/>
  <c r="N161" i="4"/>
  <c r="M160" i="4"/>
  <c r="O160" i="4" s="1"/>
  <c r="R160" i="4" l="1"/>
  <c r="V160" i="4" s="1"/>
  <c r="S160" i="4"/>
  <c r="W160" i="4" s="1"/>
  <c r="P160" i="4"/>
  <c r="T160" i="4" s="1"/>
  <c r="Q160" i="4"/>
  <c r="U160" i="4" s="1"/>
  <c r="M161" i="4"/>
  <c r="O161" i="4" s="1"/>
  <c r="N162" i="4"/>
  <c r="N163" i="4" l="1"/>
  <c r="M162" i="4"/>
  <c r="O162" i="4" s="1"/>
  <c r="S161" i="4"/>
  <c r="W161" i="4" s="1"/>
  <c r="R161" i="4"/>
  <c r="V161" i="4" s="1"/>
  <c r="P161" i="4"/>
  <c r="T161" i="4" s="1"/>
  <c r="Q161" i="4"/>
  <c r="U161" i="4" s="1"/>
  <c r="R162" i="4" l="1"/>
  <c r="V162" i="4" s="1"/>
  <c r="S162" i="4"/>
  <c r="W162" i="4" s="1"/>
  <c r="Q162" i="4"/>
  <c r="U162" i="4" s="1"/>
  <c r="P162" i="4"/>
  <c r="T162" i="4" s="1"/>
  <c r="M163" i="4"/>
  <c r="O163" i="4" s="1"/>
  <c r="N164" i="4"/>
  <c r="M164" i="4" l="1"/>
  <c r="O164" i="4" s="1"/>
  <c r="N165" i="4"/>
  <c r="R163" i="4"/>
  <c r="V163" i="4" s="1"/>
  <c r="S163" i="4"/>
  <c r="W163" i="4" s="1"/>
  <c r="P163" i="4"/>
  <c r="T163" i="4" s="1"/>
  <c r="Q163" i="4"/>
  <c r="U163" i="4" s="1"/>
  <c r="N166" i="4" l="1"/>
  <c r="M165" i="4"/>
  <c r="O165" i="4" s="1"/>
  <c r="R164" i="4"/>
  <c r="V164" i="4" s="1"/>
  <c r="S164" i="4"/>
  <c r="W164" i="4" s="1"/>
  <c r="P164" i="4"/>
  <c r="T164" i="4" s="1"/>
  <c r="Q164" i="4"/>
  <c r="U164" i="4" s="1"/>
  <c r="R165" i="4" l="1"/>
  <c r="V165" i="4" s="1"/>
  <c r="S165" i="4"/>
  <c r="W165" i="4" s="1"/>
  <c r="Q165" i="4"/>
  <c r="U165" i="4" s="1"/>
  <c r="P165" i="4"/>
  <c r="T165" i="4" s="1"/>
  <c r="M166" i="4"/>
  <c r="O166" i="4" s="1"/>
  <c r="N167" i="4"/>
  <c r="R166" i="4" l="1"/>
  <c r="V166" i="4" s="1"/>
  <c r="S166" i="4"/>
  <c r="W166" i="4" s="1"/>
  <c r="P166" i="4"/>
  <c r="T166" i="4" s="1"/>
  <c r="Q166" i="4"/>
  <c r="U166" i="4" s="1"/>
  <c r="N168" i="4"/>
  <c r="M167" i="4"/>
  <c r="O167" i="4" s="1"/>
  <c r="S167" i="4" l="1"/>
  <c r="W167" i="4" s="1"/>
  <c r="R167" i="4"/>
  <c r="V167" i="4" s="1"/>
  <c r="Q167" i="4"/>
  <c r="U167" i="4" s="1"/>
  <c r="P167" i="4"/>
  <c r="T167" i="4" s="1"/>
  <c r="N169" i="4"/>
  <c r="M168" i="4"/>
  <c r="O168" i="4" s="1"/>
  <c r="M169" i="4" l="1"/>
  <c r="O169" i="4" s="1"/>
  <c r="N170" i="4"/>
  <c r="R168" i="4"/>
  <c r="V168" i="4" s="1"/>
  <c r="S168" i="4"/>
  <c r="W168" i="4" s="1"/>
  <c r="P168" i="4"/>
  <c r="T168" i="4" s="1"/>
  <c r="Q168" i="4"/>
  <c r="U168" i="4" s="1"/>
  <c r="N171" i="4" l="1"/>
  <c r="M170" i="4"/>
  <c r="O170" i="4" s="1"/>
  <c r="S169" i="4"/>
  <c r="W169" i="4" s="1"/>
  <c r="R169" i="4"/>
  <c r="V169" i="4" s="1"/>
  <c r="P169" i="4"/>
  <c r="T169" i="4" s="1"/>
  <c r="Q169" i="4"/>
  <c r="U169" i="4" s="1"/>
  <c r="R170" i="4" l="1"/>
  <c r="V170" i="4" s="1"/>
  <c r="S170" i="4"/>
  <c r="W170" i="4" s="1"/>
  <c r="P170" i="4"/>
  <c r="T170" i="4" s="1"/>
  <c r="Q170" i="4"/>
  <c r="U170" i="4" s="1"/>
  <c r="N172" i="4"/>
  <c r="M171" i="4"/>
  <c r="O171" i="4" s="1"/>
  <c r="S171" i="4" l="1"/>
  <c r="W171" i="4" s="1"/>
  <c r="R171" i="4"/>
  <c r="V171" i="4" s="1"/>
  <c r="Q171" i="4"/>
  <c r="U171" i="4" s="1"/>
  <c r="P171" i="4"/>
  <c r="T171" i="4" s="1"/>
  <c r="M172" i="4"/>
  <c r="O172" i="4" s="1"/>
  <c r="N173" i="4"/>
  <c r="S172" i="4" l="1"/>
  <c r="W172" i="4" s="1"/>
  <c r="R172" i="4"/>
  <c r="V172" i="4" s="1"/>
  <c r="Q172" i="4"/>
  <c r="U172" i="4" s="1"/>
  <c r="P172" i="4"/>
  <c r="T172" i="4" s="1"/>
  <c r="N174" i="4"/>
  <c r="M173" i="4"/>
  <c r="O173" i="4" s="1"/>
  <c r="R173" i="4" l="1"/>
  <c r="V173" i="4" s="1"/>
  <c r="S173" i="4"/>
  <c r="W173" i="4" s="1"/>
  <c r="Q173" i="4"/>
  <c r="U173" i="4" s="1"/>
  <c r="P173" i="4"/>
  <c r="T173" i="4" s="1"/>
  <c r="N175" i="4"/>
  <c r="M174" i="4"/>
  <c r="O174" i="4" s="1"/>
  <c r="M175" i="4" l="1"/>
  <c r="O175" i="4" s="1"/>
  <c r="N176" i="4"/>
  <c r="R174" i="4"/>
  <c r="V174" i="4" s="1"/>
  <c r="S174" i="4"/>
  <c r="W174" i="4" s="1"/>
  <c r="P174" i="4"/>
  <c r="T174" i="4" s="1"/>
  <c r="Q174" i="4"/>
  <c r="U174" i="4" s="1"/>
  <c r="N177" i="4" l="1"/>
  <c r="M176" i="4"/>
  <c r="O176" i="4" s="1"/>
  <c r="S175" i="4"/>
  <c r="W175" i="4" s="1"/>
  <c r="R175" i="4"/>
  <c r="V175" i="4" s="1"/>
  <c r="Q175" i="4"/>
  <c r="U175" i="4" s="1"/>
  <c r="P175" i="4"/>
  <c r="T175" i="4" s="1"/>
  <c r="R176" i="4" l="1"/>
  <c r="V176" i="4" s="1"/>
  <c r="S176" i="4"/>
  <c r="W176" i="4" s="1"/>
  <c r="P176" i="4"/>
  <c r="T176" i="4" s="1"/>
  <c r="Q176" i="4"/>
  <c r="U176" i="4" s="1"/>
  <c r="M177" i="4"/>
  <c r="O177" i="4" s="1"/>
  <c r="N178" i="4"/>
  <c r="M178" i="4" l="1"/>
  <c r="O178" i="4" s="1"/>
  <c r="N179" i="4"/>
  <c r="S177" i="4"/>
  <c r="W177" i="4" s="1"/>
  <c r="R177" i="4"/>
  <c r="V177" i="4" s="1"/>
  <c r="Q177" i="4"/>
  <c r="U177" i="4" s="1"/>
  <c r="P177" i="4"/>
  <c r="T177" i="4" s="1"/>
  <c r="M179" i="4" l="1"/>
  <c r="O179" i="4" s="1"/>
  <c r="N180" i="4"/>
  <c r="R178" i="4"/>
  <c r="V178" i="4" s="1"/>
  <c r="S178" i="4"/>
  <c r="W178" i="4" s="1"/>
  <c r="Q178" i="4"/>
  <c r="U178" i="4" s="1"/>
  <c r="P178" i="4"/>
  <c r="T178" i="4" s="1"/>
  <c r="M180" i="4" l="1"/>
  <c r="O180" i="4" s="1"/>
  <c r="N181" i="4"/>
  <c r="R179" i="4"/>
  <c r="V179" i="4" s="1"/>
  <c r="S179" i="4"/>
  <c r="W179" i="4" s="1"/>
  <c r="P179" i="4"/>
  <c r="T179" i="4" s="1"/>
  <c r="Q179" i="4"/>
  <c r="U179" i="4" s="1"/>
  <c r="N182" i="4" l="1"/>
  <c r="M181" i="4"/>
  <c r="O181" i="4" s="1"/>
  <c r="R180" i="4"/>
  <c r="V180" i="4" s="1"/>
  <c r="S180" i="4"/>
  <c r="W180" i="4" s="1"/>
  <c r="Q180" i="4"/>
  <c r="U180" i="4" s="1"/>
  <c r="P180" i="4"/>
  <c r="T180" i="4" s="1"/>
  <c r="R181" i="4" l="1"/>
  <c r="V181" i="4" s="1"/>
  <c r="S181" i="4"/>
  <c r="W181" i="4" s="1"/>
  <c r="P181" i="4"/>
  <c r="T181" i="4" s="1"/>
  <c r="Q181" i="4"/>
  <c r="U181" i="4" s="1"/>
  <c r="N183" i="4"/>
  <c r="M182" i="4"/>
  <c r="O182" i="4" s="1"/>
  <c r="S182" i="4" l="1"/>
  <c r="W182" i="4" s="1"/>
  <c r="R182" i="4"/>
  <c r="V182" i="4" s="1"/>
  <c r="Q182" i="4"/>
  <c r="U182" i="4" s="1"/>
  <c r="P182" i="4"/>
  <c r="T182" i="4" s="1"/>
  <c r="M183" i="4"/>
  <c r="O183" i="4" s="1"/>
  <c r="N184" i="4"/>
  <c r="N185" i="4" l="1"/>
  <c r="M184" i="4"/>
  <c r="O184" i="4" s="1"/>
  <c r="R183" i="4"/>
  <c r="V183" i="4" s="1"/>
  <c r="S183" i="4"/>
  <c r="W183" i="4" s="1"/>
  <c r="P183" i="4"/>
  <c r="T183" i="4" s="1"/>
  <c r="Q183" i="4"/>
  <c r="U183" i="4" s="1"/>
  <c r="R184" i="4" l="1"/>
  <c r="V184" i="4" s="1"/>
  <c r="S184" i="4"/>
  <c r="W184" i="4" s="1"/>
  <c r="Q184" i="4"/>
  <c r="U184" i="4" s="1"/>
  <c r="P184" i="4"/>
  <c r="T184" i="4" s="1"/>
  <c r="N186" i="4"/>
  <c r="M185" i="4"/>
  <c r="O185" i="4" s="1"/>
  <c r="S185" i="4" l="1"/>
  <c r="W185" i="4" s="1"/>
  <c r="R185" i="4"/>
  <c r="V185" i="4" s="1"/>
  <c r="P185" i="4"/>
  <c r="T185" i="4" s="1"/>
  <c r="Q185" i="4"/>
  <c r="U185" i="4" s="1"/>
  <c r="M186" i="4"/>
  <c r="O186" i="4" s="1"/>
  <c r="N187" i="4"/>
  <c r="S186" i="4" l="1"/>
  <c r="W186" i="4" s="1"/>
  <c r="R186" i="4"/>
  <c r="V186" i="4" s="1"/>
  <c r="Q186" i="4"/>
  <c r="U186" i="4" s="1"/>
  <c r="P186" i="4"/>
  <c r="T186" i="4" s="1"/>
  <c r="N188" i="4"/>
  <c r="M187" i="4"/>
  <c r="O187" i="4" s="1"/>
  <c r="S187" i="4" l="1"/>
  <c r="W187" i="4" s="1"/>
  <c r="R187" i="4"/>
  <c r="V187" i="4" s="1"/>
  <c r="Q187" i="4"/>
  <c r="U187" i="4" s="1"/>
  <c r="P187" i="4"/>
  <c r="T187" i="4" s="1"/>
  <c r="M188" i="4"/>
  <c r="O188" i="4" s="1"/>
  <c r="N189" i="4"/>
  <c r="N190" i="4" l="1"/>
  <c r="M189" i="4"/>
  <c r="O189" i="4" s="1"/>
  <c r="R188" i="4"/>
  <c r="V188" i="4" s="1"/>
  <c r="S188" i="4"/>
  <c r="W188" i="4" s="1"/>
  <c r="P188" i="4"/>
  <c r="T188" i="4" s="1"/>
  <c r="Q188" i="4"/>
  <c r="U188" i="4" s="1"/>
  <c r="R189" i="4" l="1"/>
  <c r="V189" i="4" s="1"/>
  <c r="S189" i="4"/>
  <c r="W189" i="4" s="1"/>
  <c r="Q189" i="4"/>
  <c r="U189" i="4" s="1"/>
  <c r="P189" i="4"/>
  <c r="T189" i="4" s="1"/>
  <c r="N191" i="4"/>
  <c r="M190" i="4"/>
  <c r="O190" i="4" s="1"/>
  <c r="R190" i="4" l="1"/>
  <c r="V190" i="4" s="1"/>
  <c r="S190" i="4"/>
  <c r="W190" i="4" s="1"/>
  <c r="P190" i="4"/>
  <c r="T190" i="4" s="1"/>
  <c r="Q190" i="4"/>
  <c r="U190" i="4" s="1"/>
  <c r="M191" i="4"/>
  <c r="O191" i="4" s="1"/>
  <c r="N192" i="4"/>
  <c r="N193" i="4" l="1"/>
  <c r="M193" i="4" s="1"/>
  <c r="O193" i="4" s="1"/>
  <c r="M192" i="4"/>
  <c r="O192" i="4" s="1"/>
  <c r="S191" i="4"/>
  <c r="W191" i="4" s="1"/>
  <c r="R191" i="4"/>
  <c r="V191" i="4" s="1"/>
  <c r="Q191" i="4"/>
  <c r="U191" i="4" s="1"/>
  <c r="P191" i="4"/>
  <c r="T191" i="4" s="1"/>
  <c r="S192" i="4" l="1"/>
  <c r="W192" i="4" s="1"/>
  <c r="R192" i="4"/>
  <c r="V192" i="4" s="1"/>
  <c r="P192" i="4"/>
  <c r="T192" i="4" s="1"/>
  <c r="Q192" i="4"/>
  <c r="U192" i="4" s="1"/>
  <c r="R193" i="4"/>
  <c r="V193" i="4" s="1"/>
  <c r="S193" i="4"/>
  <c r="W193" i="4" s="1"/>
  <c r="Q193" i="4"/>
  <c r="U193" i="4" s="1"/>
  <c r="P193" i="4"/>
  <c r="T193" i="4" s="1"/>
  <c r="U10" i="7" l="1"/>
  <c r="U11" i="7" l="1"/>
  <c r="V12" i="7"/>
  <c r="U12" i="7" s="1"/>
  <c r="V13" i="7" l="1"/>
  <c r="U13" i="7" l="1"/>
  <c r="V15" i="7" l="1"/>
  <c r="U15" i="7" s="1"/>
  <c r="V16" i="7"/>
  <c r="U14" i="7"/>
  <c r="U16" i="7" l="1"/>
  <c r="V17" i="7"/>
  <c r="V18" i="7" l="1"/>
  <c r="U17" i="7"/>
  <c r="C26" i="7" s="1"/>
  <c r="C32" i="7" l="1"/>
  <c r="D32" i="7" s="1"/>
  <c r="M12" i="2"/>
  <c r="U18" i="7"/>
  <c r="V19" i="7"/>
  <c r="U19" i="7" l="1"/>
  <c r="V20" i="7"/>
  <c r="U20" i="7" s="1"/>
  <c r="C33" i="7"/>
  <c r="D33" i="7" s="1"/>
  <c r="V21" i="7" l="1"/>
  <c r="U21" i="7" l="1"/>
  <c r="V24" i="7" l="1"/>
  <c r="V23" i="7"/>
  <c r="U22" i="7"/>
  <c r="U23" i="7"/>
  <c r="O10" i="2" s="1"/>
  <c r="U24" i="7" l="1"/>
  <c r="V25" i="7"/>
  <c r="J38" i="2"/>
  <c r="C25" i="7"/>
  <c r="D25" i="7" s="1"/>
  <c r="J60" i="2"/>
  <c r="J59" i="2" s="1"/>
  <c r="M194" i="4"/>
  <c r="E25" i="7"/>
  <c r="K38" i="2" l="1"/>
  <c r="J39" i="2"/>
  <c r="J37" i="2"/>
  <c r="V28" i="7"/>
  <c r="U25" i="7"/>
  <c r="X194" i="4" s="1"/>
  <c r="H25" i="7" l="1"/>
  <c r="R60" i="2"/>
  <c r="R59" i="2" s="1"/>
  <c r="F25" i="7"/>
  <c r="G25" i="7" s="1"/>
  <c r="J40" i="2"/>
  <c r="K39" i="2"/>
  <c r="U28" i="7"/>
  <c r="V29" i="7"/>
  <c r="U29" i="7" s="1"/>
  <c r="K37" i="2"/>
  <c r="J36" i="2"/>
  <c r="N38" i="2"/>
  <c r="Q38" i="2" s="1"/>
  <c r="L38" i="2"/>
  <c r="O38" i="2" s="1"/>
  <c r="L39" i="2" l="1"/>
  <c r="O39" i="2" s="1"/>
  <c r="N39" i="2"/>
  <c r="Q39" i="2" s="1"/>
  <c r="K40" i="2"/>
  <c r="J41" i="2"/>
  <c r="J35" i="2"/>
  <c r="K36" i="2"/>
  <c r="N37" i="2"/>
  <c r="Q37" i="2" s="1"/>
  <c r="L37" i="2"/>
  <c r="O37" i="2" s="1"/>
  <c r="M13" i="2"/>
  <c r="E32" i="7"/>
  <c r="G32" i="7" s="1"/>
  <c r="E33" i="7"/>
  <c r="G33" i="7" s="1"/>
  <c r="K35" i="2" l="1"/>
  <c r="M35" i="2" s="1"/>
  <c r="P35" i="2" s="1"/>
  <c r="J34" i="2"/>
  <c r="L36" i="2"/>
  <c r="O36" i="2" s="1"/>
  <c r="N36" i="2"/>
  <c r="Q36" i="2" s="1"/>
  <c r="K41" i="2"/>
  <c r="M41" i="2" s="1"/>
  <c r="P41" i="2" s="1"/>
  <c r="J42" i="2"/>
  <c r="L40" i="2"/>
  <c r="O40" i="2" s="1"/>
  <c r="N40" i="2"/>
  <c r="Q40" i="2" s="1"/>
  <c r="M38" i="2"/>
  <c r="P38" i="2" s="1"/>
  <c r="M36" i="2"/>
  <c r="P36" i="2" s="1"/>
  <c r="M37" i="2"/>
  <c r="P37" i="2" s="1"/>
  <c r="M39" i="2"/>
  <c r="P39" i="2" s="1"/>
  <c r="M40" i="2"/>
  <c r="P40" i="2" s="1"/>
  <c r="K42" i="2" l="1"/>
  <c r="J43" i="2"/>
  <c r="N41" i="2"/>
  <c r="Q41" i="2" s="1"/>
  <c r="L41" i="2"/>
  <c r="O41" i="2" s="1"/>
  <c r="K34" i="2"/>
  <c r="J33" i="2"/>
  <c r="N35" i="2"/>
  <c r="Q35" i="2" s="1"/>
  <c r="L35" i="2"/>
  <c r="O35" i="2" s="1"/>
  <c r="K33" i="2" l="1"/>
  <c r="J32" i="2"/>
  <c r="L34" i="2"/>
  <c r="O34" i="2" s="1"/>
  <c r="N34" i="2"/>
  <c r="Q34" i="2" s="1"/>
  <c r="M34" i="2"/>
  <c r="P34" i="2" s="1"/>
  <c r="K43" i="2"/>
  <c r="J44" i="2"/>
  <c r="N42" i="2"/>
  <c r="Q42" i="2" s="1"/>
  <c r="L42" i="2"/>
  <c r="O42" i="2" s="1"/>
  <c r="M42" i="2"/>
  <c r="P42" i="2" s="1"/>
  <c r="J45" i="2" l="1"/>
  <c r="K44" i="2"/>
  <c r="N43" i="2"/>
  <c r="Q43" i="2" s="1"/>
  <c r="L43" i="2"/>
  <c r="O43" i="2" s="1"/>
  <c r="M43" i="2"/>
  <c r="P43" i="2" s="1"/>
  <c r="K32" i="2"/>
  <c r="J31" i="2"/>
  <c r="N33" i="2"/>
  <c r="Q33" i="2" s="1"/>
  <c r="L33" i="2"/>
  <c r="O33" i="2" s="1"/>
  <c r="M33" i="2"/>
  <c r="P33" i="2" s="1"/>
  <c r="N32" i="2" l="1"/>
  <c r="Q32" i="2" s="1"/>
  <c r="L32" i="2"/>
  <c r="O32" i="2" s="1"/>
  <c r="M32" i="2"/>
  <c r="P32" i="2" s="1"/>
  <c r="K31" i="2"/>
  <c r="J30" i="2"/>
  <c r="L44" i="2"/>
  <c r="O44" i="2" s="1"/>
  <c r="N44" i="2"/>
  <c r="Q44" i="2" s="1"/>
  <c r="M44" i="2"/>
  <c r="P44" i="2" s="1"/>
  <c r="J46" i="2"/>
  <c r="K45" i="2"/>
  <c r="N31" i="2" l="1"/>
  <c r="Q31" i="2" s="1"/>
  <c r="L31" i="2"/>
  <c r="O31" i="2" s="1"/>
  <c r="M31" i="2"/>
  <c r="P31" i="2" s="1"/>
  <c r="K30" i="2"/>
  <c r="J29" i="2"/>
  <c r="L45" i="2"/>
  <c r="O45" i="2" s="1"/>
  <c r="N45" i="2"/>
  <c r="Q45" i="2" s="1"/>
  <c r="M45" i="2"/>
  <c r="P45" i="2" s="1"/>
  <c r="J47" i="2"/>
  <c r="K46" i="2"/>
  <c r="K29" i="2" l="1"/>
  <c r="J28" i="2"/>
  <c r="L30" i="2"/>
  <c r="O30" i="2" s="1"/>
  <c r="N30" i="2"/>
  <c r="Q30" i="2" s="1"/>
  <c r="M30" i="2"/>
  <c r="P30" i="2" s="1"/>
  <c r="L46" i="2"/>
  <c r="O46" i="2" s="1"/>
  <c r="N46" i="2"/>
  <c r="Q46" i="2" s="1"/>
  <c r="M46" i="2"/>
  <c r="P46" i="2" s="1"/>
  <c r="J48" i="2"/>
  <c r="K47" i="2"/>
  <c r="J27" i="2" l="1"/>
  <c r="K28" i="2"/>
  <c r="N47" i="2"/>
  <c r="Q47" i="2" s="1"/>
  <c r="L47" i="2"/>
  <c r="O47" i="2" s="1"/>
  <c r="M47" i="2"/>
  <c r="P47" i="2" s="1"/>
  <c r="J49" i="2"/>
  <c r="K48" i="2"/>
  <c r="L29" i="2"/>
  <c r="O29" i="2" s="1"/>
  <c r="N29" i="2"/>
  <c r="Q29" i="2" s="1"/>
  <c r="M29" i="2"/>
  <c r="P29" i="2" s="1"/>
  <c r="K49" i="2" l="1"/>
  <c r="J50" i="2"/>
  <c r="N48" i="2"/>
  <c r="Q48" i="2" s="1"/>
  <c r="L48" i="2"/>
  <c r="O48" i="2" s="1"/>
  <c r="M48" i="2"/>
  <c r="P48" i="2" s="1"/>
  <c r="L28" i="2"/>
  <c r="O28" i="2" s="1"/>
  <c r="N28" i="2"/>
  <c r="Q28" i="2" s="1"/>
  <c r="M28" i="2"/>
  <c r="P28" i="2" s="1"/>
  <c r="J26" i="2"/>
  <c r="K27" i="2"/>
  <c r="K50" i="2" l="1"/>
  <c r="J51" i="2"/>
  <c r="N27" i="2"/>
  <c r="Q27" i="2" s="1"/>
  <c r="L27" i="2"/>
  <c r="O27" i="2" s="1"/>
  <c r="M27" i="2"/>
  <c r="P27" i="2" s="1"/>
  <c r="J25" i="2"/>
  <c r="K26" i="2"/>
  <c r="N49" i="2"/>
  <c r="Q49" i="2" s="1"/>
  <c r="L49" i="2"/>
  <c r="O49" i="2" s="1"/>
  <c r="M49" i="2"/>
  <c r="P49" i="2" s="1"/>
  <c r="L26" i="2" l="1"/>
  <c r="O26" i="2" s="1"/>
  <c r="N26" i="2"/>
  <c r="Q26" i="2" s="1"/>
  <c r="M26" i="2"/>
  <c r="P26" i="2" s="1"/>
  <c r="K25" i="2"/>
  <c r="J24" i="2"/>
  <c r="K51" i="2"/>
  <c r="J52" i="2"/>
  <c r="L50" i="2"/>
  <c r="O50" i="2" s="1"/>
  <c r="N50" i="2"/>
  <c r="Q50" i="2" s="1"/>
  <c r="M50" i="2"/>
  <c r="P50" i="2" s="1"/>
  <c r="J23" i="2" l="1"/>
  <c r="K24" i="2"/>
  <c r="K52" i="2"/>
  <c r="J53" i="2"/>
  <c r="N51" i="2"/>
  <c r="Q51" i="2" s="1"/>
  <c r="L51" i="2"/>
  <c r="O51" i="2" s="1"/>
  <c r="M51" i="2"/>
  <c r="P51" i="2" s="1"/>
  <c r="N25" i="2"/>
  <c r="Q25" i="2" s="1"/>
  <c r="L25" i="2"/>
  <c r="O25" i="2" s="1"/>
  <c r="M25" i="2"/>
  <c r="P25" i="2" s="1"/>
  <c r="K53" i="2" l="1"/>
  <c r="J54" i="2"/>
  <c r="L52" i="2"/>
  <c r="O52" i="2" s="1"/>
  <c r="N52" i="2"/>
  <c r="Q52" i="2" s="1"/>
  <c r="M52" i="2"/>
  <c r="P52" i="2" s="1"/>
  <c r="L24" i="2"/>
  <c r="O24" i="2" s="1"/>
  <c r="N24" i="2"/>
  <c r="Q24" i="2" s="1"/>
  <c r="M24" i="2"/>
  <c r="P24" i="2" s="1"/>
  <c r="K23" i="2"/>
  <c r="J22" i="2"/>
  <c r="J55" i="2" l="1"/>
  <c r="K54" i="2"/>
  <c r="J21" i="2"/>
  <c r="K22" i="2"/>
  <c r="N23" i="2"/>
  <c r="Q23" i="2" s="1"/>
  <c r="L23" i="2"/>
  <c r="O23" i="2" s="1"/>
  <c r="M23" i="2"/>
  <c r="P23" i="2" s="1"/>
  <c r="N53" i="2"/>
  <c r="Q53" i="2" s="1"/>
  <c r="L53" i="2"/>
  <c r="O53" i="2" s="1"/>
  <c r="M53" i="2"/>
  <c r="P53" i="2" s="1"/>
  <c r="N22" i="2" l="1"/>
  <c r="Q22" i="2" s="1"/>
  <c r="L22" i="2"/>
  <c r="O22" i="2" s="1"/>
  <c r="M22" i="2"/>
  <c r="P22" i="2" s="1"/>
  <c r="K21" i="2"/>
  <c r="J20" i="2"/>
  <c r="N54" i="2"/>
  <c r="Q54" i="2" s="1"/>
  <c r="L54" i="2"/>
  <c r="O54" i="2" s="1"/>
  <c r="M54" i="2"/>
  <c r="P54" i="2" s="1"/>
  <c r="J56" i="2"/>
  <c r="K55" i="2"/>
  <c r="K20" i="2" l="1"/>
  <c r="J19" i="2"/>
  <c r="L21" i="2"/>
  <c r="O21" i="2" s="1"/>
  <c r="N21" i="2"/>
  <c r="Q21" i="2" s="1"/>
  <c r="M21" i="2"/>
  <c r="P21" i="2" s="1"/>
  <c r="L55" i="2"/>
  <c r="O55" i="2" s="1"/>
  <c r="N55" i="2"/>
  <c r="Q55" i="2" s="1"/>
  <c r="M55" i="2"/>
  <c r="P55" i="2" s="1"/>
  <c r="J57" i="2"/>
  <c r="K56" i="2"/>
  <c r="J18" i="2" l="1"/>
  <c r="K18" i="2" s="1"/>
  <c r="K19" i="2"/>
  <c r="L56" i="2"/>
  <c r="O56" i="2" s="1"/>
  <c r="N56" i="2"/>
  <c r="Q56" i="2" s="1"/>
  <c r="M56" i="2"/>
  <c r="P56" i="2" s="1"/>
  <c r="J58" i="2"/>
  <c r="K58" i="2" s="1"/>
  <c r="K57" i="2"/>
  <c r="N20" i="2"/>
  <c r="Q20" i="2" s="1"/>
  <c r="L20" i="2"/>
  <c r="O20" i="2" s="1"/>
  <c r="M20" i="2"/>
  <c r="P20" i="2" s="1"/>
  <c r="N57" i="2" l="1"/>
  <c r="Q57" i="2" s="1"/>
  <c r="L57" i="2"/>
  <c r="O57" i="2" s="1"/>
  <c r="M57" i="2"/>
  <c r="P57" i="2" s="1"/>
  <c r="L19" i="2"/>
  <c r="O19" i="2" s="1"/>
  <c r="N19" i="2"/>
  <c r="Q19" i="2" s="1"/>
  <c r="M19" i="2"/>
  <c r="P19" i="2" s="1"/>
  <c r="N58" i="2"/>
  <c r="Q58" i="2" s="1"/>
  <c r="L58" i="2"/>
  <c r="O58" i="2" s="1"/>
  <c r="M58" i="2"/>
  <c r="P58" i="2" s="1"/>
  <c r="L18" i="2"/>
  <c r="O18" i="2" s="1"/>
  <c r="N18" i="2"/>
  <c r="Q18" i="2" s="1"/>
  <c r="M18" i="2"/>
  <c r="P18" i="2" s="1"/>
</calcChain>
</file>

<file path=xl/sharedStrings.xml><?xml version="1.0" encoding="utf-8"?>
<sst xmlns="http://schemas.openxmlformats.org/spreadsheetml/2006/main" count="184" uniqueCount="173">
  <si>
    <t>Datum:</t>
  </si>
  <si>
    <t>Uhrzeit UT1:</t>
  </si>
  <si>
    <t>Sextantenablesung:</t>
  </si>
  <si>
    <t>Augeshöhe:</t>
  </si>
  <si>
    <t>Grad</t>
  </si>
  <si>
    <t xml:space="preserve"> nm</t>
  </si>
  <si>
    <t>UR</t>
  </si>
  <si>
    <t xml:space="preserve">Indexberichtigung Beob. 1: </t>
  </si>
  <si>
    <t xml:space="preserve">Indexberichtigung Beob. 2: </t>
  </si>
  <si>
    <t>h</t>
  </si>
  <si>
    <t xml:space="preserve">Schiffsmittag: </t>
  </si>
  <si>
    <t>U</t>
  </si>
  <si>
    <t>Sextantenablesung :</t>
  </si>
  <si>
    <t>Gesamtbeschickung :</t>
  </si>
  <si>
    <t>Zusatzbeschickung :</t>
  </si>
  <si>
    <t>Indexberichtigung :</t>
  </si>
  <si>
    <t>Bogenmaß :</t>
  </si>
  <si>
    <t>beobachtete Höhe:</t>
  </si>
  <si>
    <t>Grad Minuten :</t>
  </si>
  <si>
    <t>Zeit UT1:</t>
  </si>
  <si>
    <t>Greenwichwinkel Grt:</t>
  </si>
  <si>
    <r>
      <t xml:space="preserve">Deklination </t>
    </r>
    <r>
      <rPr>
        <sz val="11"/>
        <color theme="1"/>
        <rFont val="Symbol"/>
        <charset val="2"/>
      </rPr>
      <t>d</t>
    </r>
    <r>
      <rPr>
        <sz val="11"/>
        <color theme="1"/>
        <rFont val="Helvetica Neue"/>
        <family val="2"/>
      </rPr>
      <t>:</t>
    </r>
  </si>
  <si>
    <t>LHA:</t>
  </si>
  <si>
    <t>beobachtete Höhe h:</t>
  </si>
  <si>
    <t>Bezeichnung</t>
  </si>
  <si>
    <t xml:space="preserve">LHA = </t>
  </si>
  <si>
    <t>Azimut Az:</t>
  </si>
  <si>
    <t>UTC</t>
  </si>
  <si>
    <t>F =</t>
  </si>
  <si>
    <t>W =</t>
  </si>
  <si>
    <t>G =</t>
  </si>
  <si>
    <r>
      <rPr>
        <sz val="12"/>
        <color theme="1"/>
        <rFont val="Symbol"/>
        <charset val="2"/>
      </rPr>
      <t>j</t>
    </r>
    <r>
      <rPr>
        <sz val="12"/>
        <color theme="1"/>
        <rFont val="Calibri"/>
        <family val="2"/>
        <charset val="2"/>
        <scheme val="minor"/>
      </rPr>
      <t xml:space="preserve"> =</t>
    </r>
  </si>
  <si>
    <t>z =</t>
  </si>
  <si>
    <t>distance made good:</t>
  </si>
  <si>
    <t>course made good:</t>
  </si>
  <si>
    <t xml:space="preserve">LHA' = </t>
  </si>
  <si>
    <t xml:space="preserve">z' = </t>
  </si>
  <si>
    <t>V =</t>
  </si>
  <si>
    <t>h_</t>
  </si>
  <si>
    <r>
      <rPr>
        <sz val="12"/>
        <color theme="1"/>
        <rFont val="Symbol"/>
        <charset val="2"/>
      </rPr>
      <t>q</t>
    </r>
    <r>
      <rPr>
        <sz val="12"/>
        <color theme="1"/>
        <rFont val="Calibri"/>
        <family val="2"/>
        <charset val="2"/>
        <scheme val="minor"/>
      </rPr>
      <t xml:space="preserve"> =</t>
    </r>
  </si>
  <si>
    <r>
      <rPr>
        <sz val="12"/>
        <color theme="1"/>
        <rFont val="Symbol"/>
        <charset val="2"/>
      </rPr>
      <t>l</t>
    </r>
    <r>
      <rPr>
        <sz val="12"/>
        <color theme="1"/>
        <rFont val="Calibri"/>
        <family val="2"/>
        <charset val="2"/>
        <scheme val="minor"/>
      </rPr>
      <t>* =</t>
    </r>
  </si>
  <si>
    <t xml:space="preserve">hs = </t>
  </si>
  <si>
    <t>Ws =</t>
  </si>
  <si>
    <t>Gs =</t>
  </si>
  <si>
    <r>
      <rPr>
        <sz val="12"/>
        <color theme="1"/>
        <rFont val="Symbol"/>
        <charset val="2"/>
      </rPr>
      <t>l</t>
    </r>
    <r>
      <rPr>
        <sz val="12"/>
        <color theme="1"/>
        <rFont val="Calibri (Textkörper)"/>
      </rPr>
      <t xml:space="preserve">s = </t>
    </r>
  </si>
  <si>
    <t>radiant</t>
  </si>
  <si>
    <t>Symbol</t>
  </si>
  <si>
    <t>Obs. 1</t>
  </si>
  <si>
    <t>Obs. 2</t>
  </si>
  <si>
    <t>P</t>
  </si>
  <si>
    <t>COP 1</t>
  </si>
  <si>
    <t>COP 2</t>
  </si>
  <si>
    <t>Info for COP 2</t>
  </si>
  <si>
    <t>Position</t>
  </si>
  <si>
    <t>Standort und Versegelung</t>
  </si>
  <si>
    <t>Kennwort:     change</t>
  </si>
  <si>
    <t xml:space="preserve">Breitenbereich: </t>
  </si>
  <si>
    <t>versegelter Kurs:</t>
  </si>
  <si>
    <t>versegelte Strecke s:</t>
  </si>
  <si>
    <t>nm</t>
  </si>
  <si>
    <r>
      <t xml:space="preserve">versegelte Breite </t>
    </r>
    <r>
      <rPr>
        <sz val="12"/>
        <color theme="1"/>
        <rFont val="Symbol"/>
        <charset val="2"/>
      </rPr>
      <t>Dj</t>
    </r>
    <r>
      <rPr>
        <sz val="12"/>
        <color theme="1"/>
        <rFont val="Helvetica Neue"/>
        <family val="2"/>
      </rPr>
      <t>:</t>
    </r>
  </si>
  <si>
    <t xml:space="preserve">Schrittweite Breite: </t>
  </si>
  <si>
    <t>LHA° :</t>
  </si>
  <si>
    <t>LHA°_ :</t>
  </si>
  <si>
    <t>Standortgrafikbereich</t>
  </si>
  <si>
    <t>j</t>
  </si>
  <si>
    <t>lv</t>
  </si>
  <si>
    <r>
      <rPr>
        <sz val="12"/>
        <color theme="1"/>
        <rFont val="Symbol"/>
        <charset val="2"/>
      </rPr>
      <t>j</t>
    </r>
    <r>
      <rPr>
        <sz val="12"/>
        <color theme="1"/>
        <rFont val="Calibri (Textkörper)"/>
      </rPr>
      <t>s =</t>
    </r>
    <r>
      <rPr>
        <sz val="12"/>
        <color theme="1"/>
        <rFont val="Calibri"/>
        <family val="2"/>
        <charset val="2"/>
      </rPr>
      <t xml:space="preserve"> </t>
    </r>
  </si>
  <si>
    <r>
      <t>l</t>
    </r>
    <r>
      <rPr>
        <sz val="12"/>
        <color rgb="FF000000"/>
        <rFont val="Calibri (Textkörper)"/>
      </rPr>
      <t>*s =</t>
    </r>
    <r>
      <rPr>
        <sz val="12"/>
        <color rgb="FF000000"/>
        <rFont val="Symbol"/>
        <charset val="2"/>
      </rPr>
      <t xml:space="preserve"> </t>
    </r>
  </si>
  <si>
    <r>
      <t>versegelte Länge</t>
    </r>
    <r>
      <rPr>
        <sz val="12"/>
        <color theme="1"/>
        <rFont val="Symbol"/>
        <charset val="2"/>
      </rPr>
      <t xml:space="preserve"> Dl</t>
    </r>
    <r>
      <rPr>
        <sz val="12"/>
        <color theme="1"/>
        <rFont val="Helvetica Neue"/>
        <family val="2"/>
      </rPr>
      <t>:</t>
    </r>
  </si>
  <si>
    <r>
      <rPr>
        <sz val="12"/>
        <rFont val="Symbol"/>
        <charset val="2"/>
      </rPr>
      <t>j</t>
    </r>
    <r>
      <rPr>
        <sz val="9"/>
        <rFont val="Calibri"/>
        <family val="2"/>
      </rPr>
      <t>rad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</si>
  <si>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1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</si>
  <si>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2</t>
    </r>
  </si>
  <si>
    <r>
      <t>P</t>
    </r>
    <r>
      <rPr>
        <sz val="9"/>
        <rFont val="Symbol"/>
        <charset val="2"/>
      </rPr>
      <t>l</t>
    </r>
    <r>
      <rPr>
        <sz val="9"/>
        <rFont val="Calibri (Textkörper)"/>
      </rPr>
      <t>S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</si>
  <si>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1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</si>
  <si>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2</t>
    </r>
  </si>
  <si>
    <t>DMG</t>
  </si>
  <si>
    <r>
      <t xml:space="preserve">versegelte </t>
    </r>
    <r>
      <rPr>
        <sz val="14"/>
        <color theme="1"/>
        <rFont val="Symbol"/>
        <charset val="2"/>
      </rPr>
      <t xml:space="preserve">l </t>
    </r>
    <r>
      <rPr>
        <sz val="14"/>
        <color theme="1"/>
        <rFont val="Helvetica Neue"/>
        <family val="2"/>
      </rPr>
      <t>und</t>
    </r>
    <r>
      <rPr>
        <sz val="14"/>
        <color theme="1"/>
        <rFont val="Symbol"/>
        <charset val="2"/>
      </rPr>
      <t xml:space="preserve"> j</t>
    </r>
    <r>
      <rPr>
        <sz val="14"/>
        <color theme="1"/>
        <rFont val="Helvetica Neue"/>
        <family val="2"/>
      </rPr>
      <t xml:space="preserve"> für die Standortgrafik</t>
    </r>
  </si>
  <si>
    <r>
      <t>L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</si>
  <si>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 xml:space="preserve">T = </t>
  </si>
  <si>
    <t xml:space="preserve">L = </t>
  </si>
  <si>
    <r>
      <t>𝜛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</si>
  <si>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>M =</t>
  </si>
  <si>
    <t xml:space="preserve">e = </t>
  </si>
  <si>
    <r>
      <t>e</t>
    </r>
    <r>
      <rPr>
        <sz val="8"/>
        <color theme="1"/>
        <rFont val="Calibri (Textkörper)"/>
      </rPr>
      <t>rad</t>
    </r>
    <r>
      <rPr>
        <sz val="12"/>
        <color theme="1"/>
        <rFont val="Symbol"/>
        <charset val="2"/>
      </rPr>
      <t xml:space="preserve"> = </t>
    </r>
  </si>
  <si>
    <r>
      <t>g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</si>
  <si>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 xml:space="preserve">d = </t>
  </si>
  <si>
    <t xml:space="preserve">d° = </t>
  </si>
  <si>
    <t xml:space="preserve">_A1 = </t>
  </si>
  <si>
    <t xml:space="preserve">_A2 = </t>
  </si>
  <si>
    <t xml:space="preserve">_A3 = </t>
  </si>
  <si>
    <t xml:space="preserve">_A4 = </t>
  </si>
  <si>
    <t xml:space="preserve">_B1 = </t>
  </si>
  <si>
    <t xml:space="preserve">_B2 = </t>
  </si>
  <si>
    <t xml:space="preserve">_B3 = </t>
  </si>
  <si>
    <t xml:space="preserve">_B4 = </t>
  </si>
  <si>
    <t>Einstellungen</t>
  </si>
  <si>
    <t>Messung 1</t>
  </si>
  <si>
    <t>Versegelung</t>
  </si>
  <si>
    <t>Messung 2</t>
  </si>
  <si>
    <t>Ergebnis</t>
  </si>
  <si>
    <t>Zusatzinformationen</t>
  </si>
  <si>
    <t>Bahnparameter</t>
  </si>
  <si>
    <t>Zusatzbeschickung</t>
  </si>
  <si>
    <t>gewählt:</t>
  </si>
  <si>
    <t>Die Methode von Carl Friedrich Gauß</t>
  </si>
  <si>
    <t>Monat</t>
  </si>
  <si>
    <t xml:space="preserve">Grt = </t>
  </si>
  <si>
    <t xml:space="preserve">Grt° = </t>
  </si>
  <si>
    <t xml:space="preserve">C = </t>
  </si>
  <si>
    <t xml:space="preserve">Grt0 = </t>
  </si>
  <si>
    <t xml:space="preserve">Dat ref = </t>
  </si>
  <si>
    <t xml:space="preserve">eigene Standortbreite : </t>
  </si>
  <si>
    <t>Position calculation</t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</si>
  <si>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W-1</t>
    </r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</si>
  <si>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rad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</si>
  <si>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</si>
  <si>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</si>
  <si>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</si>
  <si>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</si>
  <si>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</si>
  <si>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</si>
  <si>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</si>
  <si>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</si>
  <si>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t>Schrittweiten in der Grafik</t>
  </si>
  <si>
    <t xml:space="preserve">Nordausdehnung grosser Kreis: </t>
  </si>
  <si>
    <t xml:space="preserve">Südausdehnung grosser Kreis: </t>
  </si>
  <si>
    <t xml:space="preserve">Nordausdehnung kleiner Kreis: </t>
  </si>
  <si>
    <t xml:space="preserve">Südausdehnung kleiner Kreis: </t>
  </si>
  <si>
    <t>Nordausdehnung wenn nur ein Kreis:</t>
  </si>
  <si>
    <t>Südausdehnung wenn nur ein Kreis:</t>
  </si>
  <si>
    <t>Durchmesser großer Kreis:</t>
  </si>
  <si>
    <t>Durchmesser kleiner Kreis:</t>
  </si>
  <si>
    <t>gegebene Stufenanzahl für gr. Kreis:</t>
  </si>
  <si>
    <t>proprtionale Stufenzakl für kl. Kreis:</t>
  </si>
  <si>
    <t>halbe Stufendifferenz (oben/ unten):</t>
  </si>
  <si>
    <t>Schrittweite in der Breite:</t>
  </si>
  <si>
    <t>Grafik Global</t>
  </si>
  <si>
    <t>Grafikberechnung</t>
  </si>
  <si>
    <t>globale Grafik</t>
  </si>
  <si>
    <t>Pos.</t>
  </si>
  <si>
    <t xml:space="preserve"> Sonnenrand Beob. 1: </t>
  </si>
  <si>
    <t xml:space="preserve"> Sonnenrand Beob. 2: </t>
  </si>
  <si>
    <t>Sun</t>
  </si>
  <si>
    <t>Beschickung der Sextantenablesung</t>
  </si>
  <si>
    <t>Sonnenpositionen</t>
  </si>
  <si>
    <t>N</t>
  </si>
  <si>
    <t>sun navigation</t>
  </si>
  <si>
    <r>
      <t xml:space="preserve">Passwort:  </t>
    </r>
    <r>
      <rPr>
        <b/>
        <sz val="16"/>
        <rFont val="Helvetica Neue"/>
        <family val="2"/>
      </rPr>
      <t>change</t>
    </r>
  </si>
  <si>
    <t xml:space="preserve"> m</t>
  </si>
  <si>
    <t xml:space="preserve">Datumsdifferenz : </t>
  </si>
  <si>
    <t xml:space="preserve">TT.MM.JJ: </t>
  </si>
  <si>
    <t>Name</t>
  </si>
  <si>
    <t>q</t>
  </si>
  <si>
    <t>F</t>
  </si>
  <si>
    <t>V</t>
  </si>
  <si>
    <t>W</t>
  </si>
  <si>
    <t>G</t>
  </si>
  <si>
    <t>_l</t>
  </si>
  <si>
    <t>LHA</t>
  </si>
  <si>
    <t>Az</t>
  </si>
  <si>
    <t>hs</t>
  </si>
  <si>
    <t>Ws</t>
  </si>
  <si>
    <t>Gs</t>
  </si>
  <si>
    <t>js</t>
  </si>
  <si>
    <t>_ls</t>
  </si>
  <si>
    <t>ls</t>
  </si>
  <si>
    <t>LHA_</t>
  </si>
  <si>
    <t>z_</t>
  </si>
  <si>
    <r>
      <rPr>
        <sz val="12"/>
        <color theme="1"/>
        <rFont val="Symbol"/>
        <charset val="2"/>
      </rPr>
      <t>l</t>
    </r>
    <r>
      <rPr>
        <sz val="12"/>
        <color theme="1"/>
        <rFont val="Calibri"/>
        <family val="2"/>
        <scheme val="minor"/>
      </rPr>
      <t>0 =</t>
    </r>
  </si>
  <si>
    <r>
      <rPr>
        <sz val="12"/>
        <color theme="1"/>
        <rFont val="Symbol"/>
        <charset val="2"/>
      </rPr>
      <t>l</t>
    </r>
    <r>
      <rPr>
        <sz val="12"/>
        <color theme="1"/>
        <rFont val="Calibri"/>
        <family val="2"/>
        <scheme val="minor"/>
      </rPr>
      <t>0s =</t>
    </r>
    <r>
      <rPr>
        <sz val="12"/>
        <color theme="1"/>
        <rFont val="Calibri"/>
        <family val="2"/>
        <charset val="2"/>
        <scheme val="minor"/>
      </rPr>
      <t xml:space="preserve"> </t>
    </r>
  </si>
  <si>
    <t>lam0s</t>
  </si>
  <si>
    <t>lam0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</si>
</sst>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164" formatCode="0.0000"/>
    <numFmt numFmtId="165" formatCode="0.000"/>
    <numFmt numFmtId="166" formatCode="0.0"/>
    <numFmt numFmtId="167" formatCode="[$-407]d/\ mmm/;@"/>
    <numFmt numFmtId="168" formatCode="[$-F400]h:mm:ss\ AM/PM"/>
    <numFmt numFmtId="169" formatCode="[$-407]d/\ mmm\ yy;@"/>
    <numFmt numFmtId="170" formatCode="0.000_ ;[Red]\-0.000\ "/>
    <numFmt numFmtId="171" formatCode="0.0000_ ;[Red]\-0.0000\ "/>
    <numFmt numFmtId="172" formatCode="0.00\°"/>
    <numFmt numFmtId="173" formatCode="0\°"/>
    <numFmt numFmtId="174" formatCode="0.000\°"/>
    <numFmt numFmtId="175" formatCode="000\°"/>
    <numFmt numFmtId="176" formatCode="0.00\'"/>
    <numFmt numFmtId="177" formatCode="0.0\'"/>
    <numFmt numFmtId="178" formatCode="0.00\°;[Red]0.00\°"/>
    <numFmt numFmtId="179" formatCode="0.00000"/>
    <numFmt numFmtId="180" formatCode="0.0\°"/>
    <numFmt numFmtId="181" formatCode="#,##0.00\ _€"/>
    <numFmt numFmtId="182" formatCode="0.00_ ;[Red]\-0.00\ "/>
    <numFmt numFmtId="183" formatCode="0.000000"/>
    <numFmt numFmtId="184" formatCode="0.0000E+00"/>
    <numFmt numFmtId="185" formatCode="d/m/yyyy;@"/>
  </numFmts>
  <fonts count="62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Lucida Calligraphy Italic"/>
    </font>
    <font>
      <b/>
      <sz val="18"/>
      <color theme="1"/>
      <name val="Lucida Calligraphy Italic"/>
    </font>
    <font>
      <sz val="12"/>
      <color theme="1"/>
      <name val="Helvetica Neue"/>
      <family val="2"/>
    </font>
    <font>
      <sz val="11"/>
      <color theme="1"/>
      <name val="Helvetica Neue"/>
      <family val="2"/>
    </font>
    <font>
      <sz val="10"/>
      <color theme="1"/>
      <name val="Helvetica Neue"/>
      <family val="2"/>
    </font>
    <font>
      <sz val="10"/>
      <color rgb="FFC00000"/>
      <name val="Helvetica Neue"/>
      <family val="2"/>
    </font>
    <font>
      <sz val="9"/>
      <color rgb="FFC00000"/>
      <name val="Helvetica Neue"/>
      <family val="2"/>
    </font>
    <font>
      <sz val="12"/>
      <color theme="1"/>
      <name val="Symbol"/>
      <charset val="2"/>
    </font>
    <font>
      <sz val="11"/>
      <color theme="1"/>
      <name val="Symbol"/>
      <charset val="2"/>
    </font>
    <font>
      <b/>
      <sz val="10"/>
      <color rgb="FFFF0000"/>
      <name val="Helvetica Neue"/>
      <family val="2"/>
    </font>
    <font>
      <sz val="11"/>
      <name val="Helvetica Neue"/>
      <family val="2"/>
    </font>
    <font>
      <sz val="11"/>
      <color theme="1"/>
      <name val="Calibri"/>
      <family val="2"/>
      <scheme val="minor"/>
    </font>
    <font>
      <sz val="14"/>
      <color theme="1"/>
      <name val="Helvetica Neue"/>
      <family val="2"/>
    </font>
    <font>
      <b/>
      <sz val="11"/>
      <color theme="1"/>
      <name val="Helvetica Neue"/>
      <family val="2"/>
    </font>
    <font>
      <sz val="10"/>
      <color theme="1"/>
      <name val="Calibri"/>
      <family val="2"/>
      <scheme val="minor"/>
    </font>
    <font>
      <sz val="11"/>
      <color rgb="FFC00000"/>
      <name val="Helvetica Neue"/>
      <family val="2"/>
    </font>
    <font>
      <sz val="10"/>
      <color theme="1"/>
      <name val="Lucida Calligraphy Italic"/>
    </font>
    <font>
      <sz val="12"/>
      <color rgb="FFC00000"/>
      <name val="Helvetica Neue"/>
      <family val="2"/>
    </font>
    <font>
      <b/>
      <sz val="12"/>
      <color theme="1"/>
      <name val="Helvetica Neue"/>
      <family val="2"/>
    </font>
    <font>
      <sz val="12"/>
      <name val="Helvetica Neue"/>
      <family val="2"/>
    </font>
    <font>
      <sz val="12"/>
      <color theme="1"/>
      <name val="Calibri"/>
      <family val="2"/>
      <charset val="2"/>
      <scheme val="minor"/>
    </font>
    <font>
      <sz val="12"/>
      <color theme="1"/>
      <name val="Calibri (Textkörper)"/>
    </font>
    <font>
      <sz val="1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name val="Helvetica Neue"/>
      <family val="2"/>
    </font>
    <font>
      <sz val="18"/>
      <color theme="1" tint="0.34998626667073579"/>
      <name val="Lucida Calligraphy Italic"/>
    </font>
    <font>
      <sz val="12"/>
      <color theme="0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rgb="FF000000"/>
      <name val="Symbol"/>
      <charset val="2"/>
    </font>
    <font>
      <sz val="12"/>
      <color rgb="FF000000"/>
      <name val="Calibri (Textkörper)"/>
    </font>
    <font>
      <sz val="12"/>
      <color theme="1"/>
      <name val="Calibri"/>
      <family val="2"/>
      <charset val="2"/>
    </font>
    <font>
      <sz val="8"/>
      <color theme="1"/>
      <name val="Calibri (Textkörper)_x0000_"/>
    </font>
    <font>
      <sz val="8"/>
      <color theme="1"/>
      <name val="Calibri (Textkörper)"/>
    </font>
    <font>
      <sz val="12"/>
      <color rgb="FFFF0000"/>
      <name val="Calibri"/>
      <family val="2"/>
      <scheme val="minor"/>
    </font>
    <font>
      <sz val="14"/>
      <color theme="1"/>
      <name val="Symbol"/>
      <charset val="2"/>
    </font>
    <font>
      <sz val="12"/>
      <name val="Symbol"/>
      <charset val="2"/>
    </font>
    <font>
      <sz val="12"/>
      <name val="Calibri"/>
      <family val="2"/>
      <charset val="2"/>
    </font>
    <font>
      <sz val="12"/>
      <name val="Helvetica Neue"/>
      <family val="2"/>
      <charset val="2"/>
    </font>
    <font>
      <sz val="9"/>
      <name val="Helvetica Neue"/>
      <family val="2"/>
      <charset val="2"/>
    </font>
    <font>
      <sz val="12"/>
      <color rgb="FF00B05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1"/>
      <color rgb="FF00B050"/>
      <name val="Helvetica Neue"/>
      <family val="2"/>
    </font>
    <font>
      <sz val="11"/>
      <color rgb="FFFF0000"/>
      <name val="Helvetica Neue"/>
      <family val="2"/>
    </font>
    <font>
      <sz val="11"/>
      <color theme="9" tint="-0.249977111117893"/>
      <name val="Helvetica Neue"/>
      <family val="2"/>
    </font>
    <font>
      <sz val="11"/>
      <color rgb="FF0070C0"/>
      <name val="Helvetica Neue"/>
      <family val="2"/>
    </font>
    <font>
      <sz val="9"/>
      <name val="Calibri"/>
      <family val="2"/>
    </font>
    <font>
      <sz val="9"/>
      <name val="Symbol"/>
      <charset val="2"/>
    </font>
    <font>
      <sz val="9"/>
      <name val="Helvetica Neue"/>
      <family val="2"/>
    </font>
    <font>
      <sz val="9"/>
      <name val="Calibri (Textkörper)"/>
    </font>
    <font>
      <sz val="18"/>
      <color rgb="FFC00000"/>
      <name val="Lucida Calligraphy Italic"/>
    </font>
    <font>
      <sz val="12"/>
      <color rgb="FF000000"/>
      <name val="Calibri"/>
      <family val="2"/>
      <scheme val="minor"/>
    </font>
    <font>
      <sz val="12"/>
      <color theme="1"/>
      <name val="Helvetica Neue"/>
      <family val="2"/>
      <charset val="2"/>
    </font>
    <font>
      <vertAlign val="subscript"/>
      <sz val="12"/>
      <color theme="1"/>
      <name val="Helvetica Neue"/>
      <family val="2"/>
    </font>
    <font>
      <b/>
      <sz val="12"/>
      <color theme="1"/>
      <name val="Lucida Calligraphy Italic"/>
    </font>
    <font>
      <b/>
      <sz val="16"/>
      <name val="Helvetica Neue"/>
      <family val="2"/>
    </font>
    <font>
      <sz val="14"/>
      <color theme="1"/>
      <name val="Calibri"/>
      <family val="2"/>
      <scheme val="minor"/>
    </font>
    <font>
      <b/>
      <sz val="12"/>
      <name val="Helvetica Neue"/>
      <family val="2"/>
    </font>
    <font>
      <b/>
      <sz val="12"/>
      <color rgb="FF000000"/>
      <name val="Helvetica Neue"/>
      <family val="2"/>
    </font>
    <font>
      <b/>
      <sz val="11"/>
      <color rgb="FFC00000"/>
      <name val="Helvetica Neue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3">
    <border>
      <left/>
      <right/>
      <top/>
      <bottom/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/>
      <top style="thin">
        <color rgb="FFC00000"/>
      </top>
      <bottom/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 style="thin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medium">
        <color rgb="FFC00000"/>
      </bottom>
      <diagonal/>
    </border>
    <border>
      <left/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/>
      <top style="hair">
        <color rgb="FF00B050"/>
      </top>
      <bottom style="hair">
        <color rgb="FF00B050"/>
      </bottom>
      <diagonal/>
    </border>
    <border>
      <left/>
      <right/>
      <top style="hair">
        <color rgb="FF00B050"/>
      </top>
      <bottom style="hair">
        <color rgb="FF00B050"/>
      </bottom>
      <diagonal/>
    </border>
    <border>
      <left/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medium">
        <color rgb="FF00B050"/>
      </bottom>
      <diagonal/>
    </border>
    <border>
      <left/>
      <right/>
      <top style="hair">
        <color rgb="FF00B050"/>
      </top>
      <bottom style="medium">
        <color rgb="FF00B050"/>
      </bottom>
      <diagonal/>
    </border>
    <border>
      <left/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/>
      <top/>
      <bottom style="hair">
        <color rgb="FF00B050"/>
      </bottom>
      <diagonal/>
    </border>
    <border>
      <left/>
      <right/>
      <top/>
      <bottom style="hair">
        <color rgb="FF00B050"/>
      </bottom>
      <diagonal/>
    </border>
    <border>
      <left/>
      <right style="medium">
        <color rgb="FF00B050"/>
      </right>
      <top/>
      <bottom style="hair">
        <color rgb="FF00B05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/>
      <bottom style="hair">
        <color rgb="FFC00000"/>
      </bottom>
      <diagonal/>
    </border>
    <border>
      <left/>
      <right/>
      <top/>
      <bottom style="hair">
        <color rgb="FFC00000"/>
      </bottom>
      <diagonal/>
    </border>
    <border>
      <left/>
      <right style="thin">
        <color rgb="FFC00000"/>
      </right>
      <top/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/>
      <right/>
      <top style="hair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thin">
        <color rgb="FFC00000"/>
      </bottom>
      <diagonal/>
    </border>
    <border>
      <left/>
      <right/>
      <top style="hair">
        <color rgb="FFC00000"/>
      </top>
      <bottom style="thin">
        <color rgb="FFC00000"/>
      </bottom>
      <diagonal/>
    </border>
    <border>
      <left style="thin">
        <color rgb="FFC00000"/>
      </left>
      <right/>
      <top style="hair">
        <color rgb="FFC00000"/>
      </top>
      <bottom style="thin">
        <color rgb="FFC00000"/>
      </bottom>
      <diagonal/>
    </border>
    <border>
      <left/>
      <right style="thin">
        <color rgb="FFC00000"/>
      </right>
      <top style="hair">
        <color rgb="FFC00000"/>
      </top>
      <bottom style="thin">
        <color rgb="FFC00000"/>
      </bottom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medium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/>
      <top style="thin">
        <color rgb="FFC00000"/>
      </top>
      <bottom style="hair">
        <color rgb="FFC00000"/>
      </bottom>
      <diagonal/>
    </border>
    <border>
      <left/>
      <right/>
      <top style="thin">
        <color rgb="FFC00000"/>
      </top>
      <bottom style="hair">
        <color rgb="FFC00000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medium">
        <color rgb="FFC00000"/>
      </right>
      <top style="hair">
        <color rgb="FFC00000"/>
      </top>
      <bottom/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hair">
        <color rgb="FFFFC000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rgb="FFFFC000"/>
      </right>
      <top/>
      <bottom style="hair">
        <color rgb="FFFFC000"/>
      </bottom>
      <diagonal/>
    </border>
    <border>
      <left style="medium">
        <color rgb="FFFFC000"/>
      </left>
      <right style="thin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hair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medium">
        <color theme="7"/>
      </right>
      <top/>
      <bottom style="hair">
        <color theme="7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medium">
        <color theme="7"/>
      </right>
      <top style="hair">
        <color theme="7"/>
      </top>
      <bottom/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/>
      <diagonal/>
    </border>
    <border>
      <left style="thin">
        <color rgb="FFC00000"/>
      </left>
      <right style="thin">
        <color rgb="FFC00000"/>
      </right>
      <top style="medium">
        <color rgb="FFC00000"/>
      </top>
      <bottom/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 style="thin">
        <color rgb="FFC00000"/>
      </right>
      <top/>
      <bottom style="double">
        <color rgb="FFC00000"/>
      </bottom>
      <diagonal/>
    </border>
    <border>
      <left style="thin">
        <color rgb="FFC00000"/>
      </left>
      <right style="thin">
        <color rgb="FFC00000"/>
      </right>
      <top/>
      <bottom style="double">
        <color rgb="FFC00000"/>
      </bottom>
      <diagonal/>
    </border>
    <border>
      <left style="thin">
        <color rgb="FFC00000"/>
      </left>
      <right style="medium">
        <color rgb="FFC00000"/>
      </right>
      <top/>
      <bottom style="double">
        <color rgb="FFC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/>
      <diagonal/>
    </border>
    <border>
      <left/>
      <right/>
      <top style="medium">
        <color theme="2" tint="-0.24994659260841701"/>
      </top>
      <bottom/>
      <diagonal/>
    </border>
    <border>
      <left/>
      <right style="medium">
        <color theme="2" tint="-0.24994659260841701"/>
      </right>
      <top style="medium">
        <color theme="2" tint="-0.24994659260841701"/>
      </top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hair">
        <color theme="7"/>
      </bottom>
      <diagonal/>
    </border>
    <border>
      <left style="thin">
        <color theme="7"/>
      </left>
      <right/>
      <top style="medium">
        <color theme="7"/>
      </top>
      <bottom style="hair">
        <color theme="7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theme="7"/>
      </left>
      <right style="medium">
        <color theme="7"/>
      </right>
      <top style="medium">
        <color theme="7"/>
      </top>
      <bottom style="hair">
        <color theme="7"/>
      </bottom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n">
        <color rgb="FFFFC000"/>
      </left>
      <right style="medium">
        <color rgb="FFFFC000"/>
      </right>
      <top style="medium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medium">
        <color rgb="FFFFC000"/>
      </bottom>
      <diagonal/>
    </border>
    <border>
      <left/>
      <right style="thin">
        <color rgb="FFC00000"/>
      </right>
      <top/>
      <bottom/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thin">
        <color rgb="FFC00000"/>
      </left>
      <right/>
      <top style="medium">
        <color rgb="FFC00000"/>
      </top>
      <bottom/>
      <diagonal/>
    </border>
    <border>
      <left style="thin">
        <color rgb="FFC00000"/>
      </left>
      <right/>
      <top/>
      <bottom style="double">
        <color rgb="FFC00000"/>
      </bottom>
      <diagonal/>
    </border>
    <border>
      <left style="thin">
        <color rgb="FFC00000"/>
      </left>
      <right/>
      <top/>
      <bottom style="medium">
        <color rgb="FFC00000"/>
      </bottom>
      <diagonal/>
    </border>
    <border>
      <left style="thin">
        <color rgb="FFC00000"/>
      </left>
      <right/>
      <top style="medium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/>
      <diagonal/>
    </border>
    <border>
      <left style="thin">
        <color rgb="FFC00000"/>
      </left>
      <right/>
      <top style="hair">
        <color rgb="FFC00000"/>
      </top>
      <bottom style="medium">
        <color rgb="FFC00000"/>
      </bottom>
      <diagonal/>
    </border>
  </borders>
  <cellStyleXfs count="17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31">
    <xf numFmtId="0" fontId="0" fillId="0" borderId="0" xfId="0"/>
    <xf numFmtId="0" fontId="7" fillId="0" borderId="0" xfId="0" applyFont="1" applyProtection="1">
      <protection hidden="1"/>
    </xf>
    <xf numFmtId="0" fontId="7" fillId="0" borderId="0" xfId="0" applyFont="1" applyBorder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protection hidden="1"/>
    </xf>
    <xf numFmtId="0" fontId="4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164" fontId="0" fillId="0" borderId="0" xfId="0" applyNumberFormat="1" applyProtection="1">
      <protection hidden="1"/>
    </xf>
    <xf numFmtId="0" fontId="0" fillId="0" borderId="0" xfId="0" applyAlignment="1" applyProtection="1">
      <alignment vertical="center"/>
      <protection hidden="1"/>
    </xf>
    <xf numFmtId="16" fontId="7" fillId="0" borderId="0" xfId="0" applyNumberFormat="1" applyFont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right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5" fillId="0" borderId="0" xfId="0" applyFo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7" fillId="0" borderId="0" xfId="0" applyFont="1" applyAlignment="1" applyProtection="1">
      <alignment vertical="center"/>
      <protection hidden="1"/>
    </xf>
    <xf numFmtId="0" fontId="9" fillId="0" borderId="5" xfId="0" applyFont="1" applyBorder="1" applyAlignment="1" applyProtection="1">
      <alignment horizontal="right" vertical="center"/>
      <protection hidden="1"/>
    </xf>
    <xf numFmtId="0" fontId="18" fillId="0" borderId="2" xfId="0" applyFont="1" applyBorder="1" applyAlignment="1" applyProtection="1">
      <alignment horizontal="right" vertical="center"/>
      <protection hidden="1"/>
    </xf>
    <xf numFmtId="173" fontId="6" fillId="2" borderId="1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Border="1" applyAlignment="1" applyProtection="1">
      <alignment horizontal="right" vertical="center"/>
      <protection hidden="1"/>
    </xf>
    <xf numFmtId="0" fontId="6" fillId="0" borderId="6" xfId="0" applyFont="1" applyBorder="1" applyAlignment="1" applyProtection="1">
      <alignment horizontal="right"/>
      <protection hidden="1"/>
    </xf>
    <xf numFmtId="0" fontId="6" fillId="0" borderId="7" xfId="0" applyFont="1" applyBorder="1" applyAlignment="1" applyProtection="1">
      <alignment horizontal="right"/>
      <protection hidden="1"/>
    </xf>
    <xf numFmtId="177" fontId="6" fillId="2" borderId="3" xfId="0" applyNumberFormat="1" applyFont="1" applyFill="1" applyBorder="1" applyAlignment="1" applyProtection="1">
      <alignment horizontal="center" vertical="center"/>
      <protection locked="0"/>
    </xf>
    <xf numFmtId="165" fontId="20" fillId="0" borderId="4" xfId="0" applyNumberFormat="1" applyFont="1" applyBorder="1" applyAlignment="1" applyProtection="1">
      <alignment horizontal="center" vertical="center"/>
      <protection hidden="1"/>
    </xf>
    <xf numFmtId="165" fontId="5" fillId="0" borderId="0" xfId="0" applyNumberFormat="1" applyFont="1" applyAlignment="1" applyProtection="1">
      <alignment vertical="center"/>
      <protection hidden="1"/>
    </xf>
    <xf numFmtId="0" fontId="5" fillId="0" borderId="0" xfId="0" applyFont="1" applyProtection="1">
      <protection hidden="1"/>
    </xf>
    <xf numFmtId="2" fontId="5" fillId="0" borderId="0" xfId="0" applyNumberFormat="1" applyFont="1" applyProtection="1">
      <protection hidden="1"/>
    </xf>
    <xf numFmtId="0" fontId="15" fillId="0" borderId="0" xfId="0" applyFont="1" applyAlignment="1" applyProtection="1">
      <alignment vertical="center"/>
      <protection hidden="1"/>
    </xf>
    <xf numFmtId="2" fontId="7" fillId="0" borderId="0" xfId="0" applyNumberFormat="1" applyFont="1" applyProtection="1">
      <protection hidden="1"/>
    </xf>
    <xf numFmtId="0" fontId="7" fillId="0" borderId="39" xfId="0" applyFont="1" applyBorder="1" applyProtection="1">
      <protection hidden="1"/>
    </xf>
    <xf numFmtId="0" fontId="5" fillId="0" borderId="24" xfId="0" applyFont="1" applyBorder="1" applyProtection="1">
      <protection hidden="1"/>
    </xf>
    <xf numFmtId="168" fontId="6" fillId="0" borderId="41" xfId="0" applyNumberFormat="1" applyFont="1" applyBorder="1" applyAlignment="1" applyProtection="1">
      <alignment horizontal="right"/>
      <protection hidden="1"/>
    </xf>
    <xf numFmtId="173" fontId="6" fillId="0" borderId="43" xfId="0" applyNumberFormat="1" applyFont="1" applyBorder="1" applyAlignment="1" applyProtection="1">
      <alignment horizontal="right"/>
      <protection hidden="1"/>
    </xf>
    <xf numFmtId="0" fontId="0" fillId="0" borderId="0" xfId="0" applyFill="1" applyProtection="1">
      <protection hidden="1"/>
    </xf>
    <xf numFmtId="177" fontId="6" fillId="2" borderId="18" xfId="0" applyNumberFormat="1" applyFont="1" applyFill="1" applyBorder="1" applyAlignment="1" applyProtection="1">
      <alignment horizontal="center"/>
      <protection locked="0"/>
    </xf>
    <xf numFmtId="177" fontId="6" fillId="2" borderId="8" xfId="0" applyNumberFormat="1" applyFont="1" applyFill="1" applyBorder="1" applyAlignment="1" applyProtection="1">
      <alignment horizontal="center"/>
      <protection locked="0"/>
    </xf>
    <xf numFmtId="0" fontId="6" fillId="0" borderId="53" xfId="0" applyFont="1" applyBorder="1" applyAlignment="1" applyProtection="1">
      <alignment horizontal="right" vertical="center"/>
      <protection hidden="1"/>
    </xf>
    <xf numFmtId="166" fontId="6" fillId="2" borderId="23" xfId="0" applyNumberFormat="1" applyFont="1" applyFill="1" applyBorder="1" applyAlignment="1" applyProtection="1">
      <alignment horizontal="center"/>
      <protection locked="0"/>
    </xf>
    <xf numFmtId="166" fontId="6" fillId="2" borderId="22" xfId="0" applyNumberFormat="1" applyFont="1" applyFill="1" applyBorder="1" applyAlignment="1" applyProtection="1">
      <alignment horizontal="center"/>
      <protection locked="0"/>
    </xf>
    <xf numFmtId="166" fontId="5" fillId="2" borderId="9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right" vertical="center"/>
      <protection hidden="1"/>
    </xf>
    <xf numFmtId="0" fontId="14" fillId="0" borderId="2" xfId="0" applyFont="1" applyBorder="1" applyProtection="1">
      <protection hidden="1"/>
    </xf>
    <xf numFmtId="0" fontId="18" fillId="0" borderId="3" xfId="0" applyFont="1" applyBorder="1" applyAlignment="1" applyProtection="1">
      <alignment horizontal="right" vertical="center"/>
      <protection hidden="1"/>
    </xf>
    <xf numFmtId="0" fontId="18" fillId="0" borderId="0" xfId="0" applyFont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167" fontId="15" fillId="0" borderId="0" xfId="0" applyNumberFormat="1" applyFont="1" applyBorder="1" applyAlignment="1" applyProtection="1">
      <alignment horizontal="left" vertical="center"/>
      <protection hidden="1"/>
    </xf>
    <xf numFmtId="1" fontId="7" fillId="0" borderId="0" xfId="0" applyNumberFormat="1" applyFont="1" applyBorder="1" applyAlignment="1" applyProtection="1">
      <alignment horizontal="center" vertical="center"/>
      <protection hidden="1"/>
    </xf>
    <xf numFmtId="0" fontId="5" fillId="0" borderId="35" xfId="0" applyFont="1" applyBorder="1" applyAlignment="1" applyProtection="1">
      <alignment horizontal="right" vertical="center"/>
      <protection hidden="1"/>
    </xf>
    <xf numFmtId="0" fontId="5" fillId="0" borderId="38" xfId="0" applyFont="1" applyBorder="1" applyAlignment="1" applyProtection="1">
      <alignment horizontal="right" vertical="center"/>
      <protection hidden="1"/>
    </xf>
    <xf numFmtId="0" fontId="5" fillId="0" borderId="32" xfId="0" applyFont="1" applyBorder="1" applyAlignment="1" applyProtection="1">
      <alignment horizontal="right" vertical="center"/>
      <protection hidden="1"/>
    </xf>
    <xf numFmtId="0" fontId="5" fillId="0" borderId="38" xfId="0" applyFont="1" applyBorder="1" applyAlignment="1" applyProtection="1">
      <alignment vertical="center"/>
      <protection hidden="1"/>
    </xf>
    <xf numFmtId="0" fontId="7" fillId="0" borderId="32" xfId="0" applyFont="1" applyBorder="1" applyAlignment="1" applyProtection="1">
      <alignment vertical="center"/>
      <protection hidden="1"/>
    </xf>
    <xf numFmtId="176" fontId="5" fillId="0" borderId="32" xfId="0" applyNumberFormat="1" applyFont="1" applyBorder="1" applyAlignment="1" applyProtection="1">
      <alignment horizontal="left" vertical="center"/>
      <protection hidden="1"/>
    </xf>
    <xf numFmtId="0" fontId="7" fillId="0" borderId="36" xfId="0" applyFont="1" applyBorder="1" applyAlignment="1" applyProtection="1">
      <alignment vertical="center"/>
      <protection hidden="1"/>
    </xf>
    <xf numFmtId="0" fontId="7" fillId="0" borderId="30" xfId="0" applyFont="1" applyBorder="1" applyAlignment="1" applyProtection="1">
      <alignment vertical="center"/>
      <protection hidden="1"/>
    </xf>
    <xf numFmtId="0" fontId="7" fillId="0" borderId="33" xfId="0" applyFont="1" applyBorder="1" applyAlignment="1" applyProtection="1">
      <alignment vertical="center"/>
      <protection hidden="1"/>
    </xf>
    <xf numFmtId="0" fontId="5" fillId="0" borderId="15" xfId="0" applyFont="1" applyBorder="1" applyAlignment="1" applyProtection="1">
      <alignment horizontal="center"/>
      <protection hidden="1"/>
    </xf>
    <xf numFmtId="0" fontId="5" fillId="0" borderId="25" xfId="0" applyFont="1" applyBorder="1" applyAlignment="1" applyProtection="1">
      <alignment horizontal="center"/>
      <protection hidden="1"/>
    </xf>
    <xf numFmtId="0" fontId="7" fillId="0" borderId="0" xfId="0" applyNumberFormat="1" applyFont="1" applyProtection="1">
      <protection hidden="1"/>
    </xf>
    <xf numFmtId="173" fontId="6" fillId="0" borderId="50" xfId="0" applyNumberFormat="1" applyFont="1" applyBorder="1" applyProtection="1">
      <protection hidden="1"/>
    </xf>
    <xf numFmtId="173" fontId="5" fillId="2" borderId="41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vertical="center"/>
      <protection hidden="1"/>
    </xf>
    <xf numFmtId="0" fontId="5" fillId="0" borderId="54" xfId="0" applyFont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26" fillId="0" borderId="0" xfId="0" applyFont="1" applyAlignment="1" applyProtection="1">
      <alignment horizontal="right" vertical="center"/>
      <protection hidden="1"/>
    </xf>
    <xf numFmtId="0" fontId="6" fillId="0" borderId="42" xfId="0" applyFont="1" applyBorder="1" applyAlignment="1" applyProtection="1">
      <alignment horizontal="right" vertical="center"/>
      <protection hidden="1"/>
    </xf>
    <xf numFmtId="0" fontId="6" fillId="0" borderId="45" xfId="0" applyFont="1" applyBorder="1" applyAlignment="1" applyProtection="1">
      <alignment horizontal="right" vertical="center"/>
      <protection hidden="1"/>
    </xf>
    <xf numFmtId="0" fontId="0" fillId="0" borderId="45" xfId="0" applyBorder="1" applyAlignment="1" applyProtection="1">
      <alignment horizontal="right" vertical="center"/>
      <protection hidden="1"/>
    </xf>
    <xf numFmtId="0" fontId="6" fillId="0" borderId="49" xfId="0" applyFont="1" applyBorder="1" applyAlignment="1" applyProtection="1">
      <alignment horizontal="right" vertical="center"/>
      <protection hidden="1"/>
    </xf>
    <xf numFmtId="0" fontId="26" fillId="0" borderId="0" xfId="0" applyFont="1" applyAlignment="1" applyProtection="1">
      <alignment horizontal="center" vertical="center"/>
      <protection hidden="1"/>
    </xf>
    <xf numFmtId="168" fontId="8" fillId="0" borderId="0" xfId="0" applyNumberFormat="1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right" vertical="center"/>
      <protection hidden="1"/>
    </xf>
    <xf numFmtId="0" fontId="0" fillId="0" borderId="60" xfId="0" applyFill="1" applyBorder="1" applyAlignment="1" applyProtection="1">
      <alignment horizontal="right"/>
      <protection hidden="1"/>
    </xf>
    <xf numFmtId="0" fontId="5" fillId="0" borderId="67" xfId="0" applyFont="1" applyBorder="1" applyAlignment="1" applyProtection="1">
      <alignment horizontal="center"/>
      <protection hidden="1"/>
    </xf>
    <xf numFmtId="0" fontId="5" fillId="0" borderId="69" xfId="0" applyFont="1" applyBorder="1" applyAlignment="1" applyProtection="1">
      <alignment horizontal="center"/>
      <protection hidden="1"/>
    </xf>
    <xf numFmtId="0" fontId="0" fillId="0" borderId="55" xfId="0" applyBorder="1" applyAlignment="1" applyProtection="1">
      <alignment horizontal="center" vertical="center"/>
      <protection hidden="1"/>
    </xf>
    <xf numFmtId="0" fontId="0" fillId="0" borderId="56" xfId="0" applyBorder="1" applyAlignment="1" applyProtection="1">
      <alignment horizontal="center" vertical="center"/>
      <protection hidden="1"/>
    </xf>
    <xf numFmtId="0" fontId="0" fillId="0" borderId="57" xfId="0" applyBorder="1" applyAlignment="1" applyProtection="1">
      <alignment horizontal="center" vertical="center"/>
      <protection hidden="1"/>
    </xf>
    <xf numFmtId="0" fontId="28" fillId="0" borderId="0" xfId="0" applyFont="1" applyProtection="1">
      <protection hidden="1"/>
    </xf>
    <xf numFmtId="0" fontId="29" fillId="0" borderId="0" xfId="0" applyFont="1" applyProtection="1">
      <protection hidden="1"/>
    </xf>
    <xf numFmtId="0" fontId="33" fillId="0" borderId="62" xfId="0" applyFont="1" applyFill="1" applyBorder="1" applyAlignment="1" applyProtection="1">
      <alignment horizontal="right"/>
      <protection hidden="1"/>
    </xf>
    <xf numFmtId="172" fontId="5" fillId="0" borderId="37" xfId="0" applyNumberFormat="1" applyFont="1" applyBorder="1" applyAlignment="1" applyProtection="1">
      <alignment horizontal="right" vertical="center"/>
      <protection hidden="1"/>
    </xf>
    <xf numFmtId="176" fontId="5" fillId="0" borderId="31" xfId="0" applyNumberFormat="1" applyFont="1" applyBorder="1" applyAlignment="1" applyProtection="1">
      <alignment horizontal="right" vertical="center"/>
      <protection hidden="1"/>
    </xf>
    <xf numFmtId="177" fontId="5" fillId="0" borderId="31" xfId="0" applyNumberFormat="1" applyFont="1" applyBorder="1" applyAlignment="1" applyProtection="1">
      <alignment horizontal="right" vertical="center"/>
      <protection hidden="1"/>
    </xf>
    <xf numFmtId="2" fontId="5" fillId="0" borderId="31" xfId="0" applyNumberFormat="1" applyFont="1" applyBorder="1" applyAlignment="1" applyProtection="1">
      <alignment horizontal="right" vertical="center"/>
      <protection hidden="1"/>
    </xf>
    <xf numFmtId="173" fontId="5" fillId="0" borderId="31" xfId="0" applyNumberFormat="1" applyFont="1" applyBorder="1" applyAlignment="1" applyProtection="1">
      <alignment horizontal="right" vertical="center"/>
      <protection hidden="1"/>
    </xf>
    <xf numFmtId="0" fontId="5" fillId="0" borderId="32" xfId="0" applyFont="1" applyBorder="1" applyAlignment="1" applyProtection="1">
      <alignment horizontal="left" vertical="center"/>
      <protection hidden="1"/>
    </xf>
    <xf numFmtId="0" fontId="5" fillId="0" borderId="35" xfId="0" applyFont="1" applyBorder="1" applyAlignment="1" applyProtection="1">
      <alignment horizontal="left" vertical="center"/>
      <protection hidden="1"/>
    </xf>
    <xf numFmtId="0" fontId="14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6" fillId="0" borderId="0" xfId="0" applyFont="1"/>
    <xf numFmtId="0" fontId="6" fillId="0" borderId="73" xfId="0" applyFont="1" applyBorder="1" applyAlignment="1" applyProtection="1">
      <alignment horizontal="center"/>
      <protection hidden="1"/>
    </xf>
    <xf numFmtId="0" fontId="6" fillId="0" borderId="76" xfId="0" applyFont="1" applyBorder="1" applyAlignment="1" applyProtection="1">
      <alignment horizontal="center"/>
      <protection hidden="1"/>
    </xf>
    <xf numFmtId="165" fontId="6" fillId="0" borderId="87" xfId="0" applyNumberFormat="1" applyFont="1" applyBorder="1" applyAlignment="1" applyProtection="1">
      <alignment horizontal="center"/>
      <protection hidden="1"/>
    </xf>
    <xf numFmtId="165" fontId="6" fillId="0" borderId="88" xfId="0" applyNumberFormat="1" applyFont="1" applyBorder="1" applyAlignment="1" applyProtection="1">
      <alignment horizontal="center"/>
      <protection hidden="1"/>
    </xf>
    <xf numFmtId="0" fontId="15" fillId="0" borderId="0" xfId="0" applyFont="1" applyAlignment="1" applyProtection="1">
      <alignment vertical="top"/>
      <protection hidden="1"/>
    </xf>
    <xf numFmtId="0" fontId="33" fillId="0" borderId="60" xfId="0" applyFont="1" applyFill="1" applyBorder="1" applyAlignment="1" applyProtection="1">
      <alignment horizontal="right"/>
      <protection hidden="1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 vertical="center"/>
      <protection hidden="1"/>
    </xf>
    <xf numFmtId="0" fontId="23" fillId="0" borderId="70" xfId="0" applyFont="1" applyFill="1" applyBorder="1" applyAlignment="1" applyProtection="1">
      <alignment horizontal="right"/>
      <protection hidden="1"/>
    </xf>
    <xf numFmtId="167" fontId="5" fillId="0" borderId="92" xfId="0" applyNumberFormat="1" applyFont="1" applyBorder="1" applyAlignment="1" applyProtection="1">
      <alignment horizontal="center" vertical="center"/>
      <protection hidden="1"/>
    </xf>
    <xf numFmtId="0" fontId="21" fillId="0" borderId="95" xfId="0" applyFont="1" applyBorder="1" applyAlignment="1" applyProtection="1">
      <alignment horizontal="center" vertical="center"/>
      <protection hidden="1"/>
    </xf>
    <xf numFmtId="0" fontId="21" fillId="0" borderId="97" xfId="0" applyFont="1" applyBorder="1" applyAlignment="1" applyProtection="1">
      <alignment horizontal="center"/>
      <protection hidden="1"/>
    </xf>
    <xf numFmtId="0" fontId="27" fillId="0" borderId="0" xfId="0" applyFont="1" applyBorder="1" applyAlignment="1" applyProtection="1">
      <protection hidden="1"/>
    </xf>
    <xf numFmtId="179" fontId="21" fillId="0" borderId="34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top"/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173" fontId="5" fillId="0" borderId="102" xfId="0" applyNumberFormat="1" applyFont="1" applyBorder="1" applyAlignment="1" applyProtection="1">
      <alignment horizontal="center" vertical="center"/>
      <protection hidden="1"/>
    </xf>
    <xf numFmtId="0" fontId="5" fillId="0" borderId="102" xfId="0" applyFont="1" applyBorder="1" applyAlignment="1" applyProtection="1">
      <alignment vertical="center"/>
      <protection hidden="1"/>
    </xf>
    <xf numFmtId="0" fontId="5" fillId="0" borderId="103" xfId="0" applyFont="1" applyBorder="1" applyAlignment="1" applyProtection="1">
      <alignment vertical="center"/>
      <protection hidden="1"/>
    </xf>
    <xf numFmtId="166" fontId="5" fillId="0" borderId="0" xfId="0" applyNumberFormat="1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vertical="center"/>
      <protection hidden="1"/>
    </xf>
    <xf numFmtId="0" fontId="5" fillId="0" borderId="105" xfId="0" applyFont="1" applyBorder="1" applyAlignment="1" applyProtection="1">
      <alignment horizontal="center" vertical="center"/>
      <protection hidden="1"/>
    </xf>
    <xf numFmtId="166" fontId="5" fillId="0" borderId="0" xfId="0" applyNumberFormat="1" applyFont="1" applyBorder="1" applyAlignment="1" applyProtection="1">
      <alignment horizontal="left" vertical="center"/>
      <protection hidden="1"/>
    </xf>
    <xf numFmtId="174" fontId="5" fillId="0" borderId="105" xfId="0" applyNumberFormat="1" applyFont="1" applyBorder="1" applyAlignment="1" applyProtection="1">
      <alignment horizontal="center" vertical="center"/>
      <protection hidden="1"/>
    </xf>
    <xf numFmtId="166" fontId="0" fillId="0" borderId="0" xfId="0" applyNumberFormat="1" applyProtection="1">
      <protection hidden="1"/>
    </xf>
    <xf numFmtId="174" fontId="5" fillId="0" borderId="105" xfId="0" applyNumberFormat="1" applyFont="1" applyFill="1" applyBorder="1" applyAlignment="1" applyProtection="1">
      <alignment horizontal="center" vertical="center"/>
      <protection hidden="1"/>
    </xf>
    <xf numFmtId="0" fontId="5" fillId="0" borderId="104" xfId="0" applyFont="1" applyBorder="1" applyProtection="1">
      <protection hidden="1"/>
    </xf>
    <xf numFmtId="0" fontId="5" fillId="0" borderId="0" xfId="0" applyFont="1" applyBorder="1" applyProtection="1">
      <protection hidden="1"/>
    </xf>
    <xf numFmtId="0" fontId="5" fillId="0" borderId="0" xfId="0" applyFont="1" applyBorder="1" applyAlignment="1" applyProtection="1">
      <alignment horizontal="right"/>
      <protection hidden="1"/>
    </xf>
    <xf numFmtId="172" fontId="5" fillId="0" borderId="0" xfId="0" applyNumberFormat="1" applyFont="1" applyBorder="1" applyAlignment="1" applyProtection="1">
      <alignment horizontal="center" vertical="center"/>
      <protection hidden="1"/>
    </xf>
    <xf numFmtId="0" fontId="5" fillId="0" borderId="105" xfId="0" applyFont="1" applyBorder="1" applyProtection="1">
      <protection hidden="1"/>
    </xf>
    <xf numFmtId="0" fontId="0" fillId="0" borderId="104" xfId="0" applyBorder="1" applyProtection="1">
      <protection hidden="1"/>
    </xf>
    <xf numFmtId="0" fontId="0" fillId="0" borderId="0" xfId="0" applyBorder="1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0" fontId="0" fillId="0" borderId="105" xfId="0" applyBorder="1" applyProtection="1">
      <protection hidden="1"/>
    </xf>
    <xf numFmtId="0" fontId="0" fillId="0" borderId="106" xfId="0" applyBorder="1" applyProtection="1">
      <protection hidden="1"/>
    </xf>
    <xf numFmtId="0" fontId="0" fillId="0" borderId="107" xfId="0" applyBorder="1" applyProtection="1">
      <protection hidden="1"/>
    </xf>
    <xf numFmtId="0" fontId="0" fillId="0" borderId="107" xfId="0" applyBorder="1" applyAlignment="1" applyProtection="1">
      <alignment horizontal="right"/>
      <protection hidden="1"/>
    </xf>
    <xf numFmtId="0" fontId="0" fillId="0" borderId="107" xfId="0" applyBorder="1" applyAlignment="1" applyProtection="1">
      <alignment horizontal="center"/>
      <protection hidden="1"/>
    </xf>
    <xf numFmtId="0" fontId="0" fillId="0" borderId="108" xfId="0" applyBorder="1" applyProtection="1">
      <protection hidden="1"/>
    </xf>
    <xf numFmtId="0" fontId="38" fillId="0" borderId="109" xfId="0" applyFont="1" applyFill="1" applyBorder="1" applyAlignment="1" applyProtection="1">
      <alignment horizontal="center"/>
      <protection hidden="1"/>
    </xf>
    <xf numFmtId="0" fontId="39" fillId="0" borderId="110" xfId="0" applyFont="1" applyFill="1" applyBorder="1" applyAlignment="1" applyProtection="1">
      <alignment horizontal="center"/>
      <protection hidden="1"/>
    </xf>
    <xf numFmtId="0" fontId="40" fillId="0" borderId="110" xfId="0" applyFont="1" applyFill="1" applyBorder="1" applyAlignment="1" applyProtection="1">
      <alignment horizontal="center"/>
      <protection hidden="1"/>
    </xf>
    <xf numFmtId="0" fontId="38" fillId="0" borderId="110" xfId="0" applyFont="1" applyFill="1" applyBorder="1" applyAlignment="1" applyProtection="1">
      <alignment horizontal="center"/>
      <protection hidden="1"/>
    </xf>
    <xf numFmtId="181" fontId="5" fillId="0" borderId="112" xfId="0" applyNumberFormat="1" applyFont="1" applyFill="1" applyBorder="1" applyAlignment="1" applyProtection="1">
      <alignment horizontal="center"/>
      <protection hidden="1"/>
    </xf>
    <xf numFmtId="2" fontId="0" fillId="0" borderId="113" xfId="0" applyNumberFormat="1" applyFont="1" applyBorder="1" applyAlignment="1" applyProtection="1">
      <alignment horizontal="center"/>
      <protection hidden="1"/>
    </xf>
    <xf numFmtId="2" fontId="42" fillId="0" borderId="113" xfId="0" applyNumberFormat="1" applyFont="1" applyFill="1" applyBorder="1" applyAlignment="1" applyProtection="1">
      <alignment horizontal="center"/>
      <protection hidden="1"/>
    </xf>
    <xf numFmtId="2" fontId="36" fillId="0" borderId="113" xfId="0" applyNumberFormat="1" applyFont="1" applyFill="1" applyBorder="1" applyAlignment="1" applyProtection="1">
      <alignment horizontal="center"/>
      <protection hidden="1"/>
    </xf>
    <xf numFmtId="2" fontId="43" fillId="3" borderId="113" xfId="0" applyNumberFormat="1" applyFont="1" applyFill="1" applyBorder="1" applyAlignment="1" applyProtection="1">
      <alignment horizontal="center"/>
      <protection hidden="1"/>
    </xf>
    <xf numFmtId="0" fontId="0" fillId="0" borderId="114" xfId="0" applyFill="1" applyBorder="1" applyProtection="1">
      <protection hidden="1"/>
    </xf>
    <xf numFmtId="181" fontId="6" fillId="0" borderId="115" xfId="0" applyNumberFormat="1" applyFont="1" applyFill="1" applyBorder="1" applyAlignment="1" applyProtection="1">
      <alignment horizontal="center"/>
      <protection hidden="1"/>
    </xf>
    <xf numFmtId="2" fontId="6" fillId="0" borderId="116" xfId="0" applyNumberFormat="1" applyFont="1" applyBorder="1" applyAlignment="1" applyProtection="1">
      <alignment horizontal="center"/>
      <protection hidden="1"/>
    </xf>
    <xf numFmtId="2" fontId="44" fillId="0" borderId="116" xfId="0" applyNumberFormat="1" applyFont="1" applyFill="1" applyBorder="1" applyAlignment="1" applyProtection="1">
      <alignment horizontal="center"/>
      <protection hidden="1"/>
    </xf>
    <xf numFmtId="2" fontId="45" fillId="0" borderId="116" xfId="0" applyNumberFormat="1" applyFont="1" applyFill="1" applyBorder="1" applyAlignment="1" applyProtection="1">
      <alignment horizontal="center"/>
      <protection hidden="1"/>
    </xf>
    <xf numFmtId="2" fontId="46" fillId="3" borderId="116" xfId="0" applyNumberFormat="1" applyFont="1" applyFill="1" applyBorder="1" applyAlignment="1" applyProtection="1">
      <alignment horizontal="center"/>
      <protection hidden="1"/>
    </xf>
    <xf numFmtId="0" fontId="0" fillId="0" borderId="117" xfId="0" applyFill="1" applyBorder="1" applyProtection="1">
      <protection hidden="1"/>
    </xf>
    <xf numFmtId="181" fontId="16" fillId="2" borderId="115" xfId="0" applyNumberFormat="1" applyFont="1" applyFill="1" applyBorder="1" applyAlignment="1" applyProtection="1">
      <alignment horizontal="center"/>
      <protection hidden="1"/>
    </xf>
    <xf numFmtId="2" fontId="6" fillId="2" borderId="116" xfId="0" applyNumberFormat="1" applyFont="1" applyFill="1" applyBorder="1" applyAlignment="1" applyProtection="1">
      <alignment horizontal="center"/>
      <protection hidden="1"/>
    </xf>
    <xf numFmtId="2" fontId="44" fillId="2" borderId="116" xfId="0" applyNumberFormat="1" applyFont="1" applyFill="1" applyBorder="1" applyAlignment="1" applyProtection="1">
      <alignment horizontal="center"/>
      <protection hidden="1"/>
    </xf>
    <xf numFmtId="2" fontId="45" fillId="2" borderId="116" xfId="0" applyNumberFormat="1" applyFont="1" applyFill="1" applyBorder="1" applyAlignment="1" applyProtection="1">
      <alignment horizontal="center"/>
      <protection hidden="1"/>
    </xf>
    <xf numFmtId="2" fontId="46" fillId="2" borderId="116" xfId="0" applyNumberFormat="1" applyFont="1" applyFill="1" applyBorder="1" applyAlignment="1" applyProtection="1">
      <alignment horizontal="center"/>
      <protection hidden="1"/>
    </xf>
    <xf numFmtId="0" fontId="0" fillId="0" borderId="118" xfId="0" applyFill="1" applyBorder="1" applyProtection="1">
      <protection hidden="1"/>
    </xf>
    <xf numFmtId="181" fontId="6" fillId="0" borderId="112" xfId="0" applyNumberFormat="1" applyFont="1" applyFill="1" applyBorder="1" applyAlignment="1" applyProtection="1">
      <alignment horizontal="center"/>
      <protection hidden="1"/>
    </xf>
    <xf numFmtId="182" fontId="6" fillId="0" borderId="113" xfId="0" applyNumberFormat="1" applyFont="1" applyBorder="1" applyAlignment="1" applyProtection="1">
      <alignment horizontal="center"/>
      <protection hidden="1"/>
    </xf>
    <xf numFmtId="0" fontId="6" fillId="0" borderId="113" xfId="0" applyFont="1" applyBorder="1" applyAlignment="1" applyProtection="1">
      <alignment horizontal="center"/>
      <protection hidden="1"/>
    </xf>
    <xf numFmtId="2" fontId="6" fillId="0" borderId="113" xfId="0" applyNumberFormat="1" applyFont="1" applyBorder="1" applyAlignment="1" applyProtection="1">
      <alignment horizontal="center"/>
      <protection hidden="1"/>
    </xf>
    <xf numFmtId="0" fontId="44" fillId="0" borderId="113" xfId="0" applyFont="1" applyFill="1" applyBorder="1" applyAlignment="1" applyProtection="1">
      <alignment horizontal="center"/>
      <protection hidden="1"/>
    </xf>
    <xf numFmtId="0" fontId="45" fillId="0" borderId="113" xfId="0" applyFont="1" applyFill="1" applyBorder="1" applyAlignment="1" applyProtection="1">
      <alignment horizontal="center"/>
      <protection hidden="1"/>
    </xf>
    <xf numFmtId="0" fontId="0" fillId="3" borderId="113" xfId="0" applyFill="1" applyBorder="1" applyProtection="1">
      <protection hidden="1"/>
    </xf>
    <xf numFmtId="2" fontId="47" fillId="0" borderId="114" xfId="0" applyNumberFormat="1" applyFont="1" applyFill="1" applyBorder="1" applyAlignment="1" applyProtection="1">
      <alignment horizontal="center"/>
      <protection hidden="1"/>
    </xf>
    <xf numFmtId="181" fontId="6" fillId="0" borderId="119" xfId="0" applyNumberFormat="1" applyFont="1" applyFill="1" applyBorder="1" applyAlignment="1" applyProtection="1">
      <alignment horizontal="center"/>
      <protection hidden="1"/>
    </xf>
    <xf numFmtId="0" fontId="6" fillId="0" borderId="120" xfId="0" applyFont="1" applyBorder="1" applyAlignment="1" applyProtection="1">
      <alignment horizontal="center"/>
      <protection hidden="1"/>
    </xf>
    <xf numFmtId="2" fontId="6" fillId="0" borderId="120" xfId="0" applyNumberFormat="1" applyFont="1" applyBorder="1" applyAlignment="1" applyProtection="1">
      <alignment horizontal="center"/>
      <protection hidden="1"/>
    </xf>
    <xf numFmtId="0" fontId="44" fillId="0" borderId="120" xfId="0" applyFont="1" applyFill="1" applyBorder="1" applyAlignment="1" applyProtection="1">
      <alignment horizontal="center"/>
      <protection hidden="1"/>
    </xf>
    <xf numFmtId="0" fontId="45" fillId="0" borderId="120" xfId="0" applyFont="1" applyFill="1" applyBorder="1" applyAlignment="1" applyProtection="1">
      <alignment horizontal="center"/>
      <protection hidden="1"/>
    </xf>
    <xf numFmtId="0" fontId="0" fillId="3" borderId="120" xfId="0" applyFill="1" applyBorder="1" applyProtection="1">
      <protection hidden="1"/>
    </xf>
    <xf numFmtId="2" fontId="47" fillId="0" borderId="121" xfId="0" applyNumberFormat="1" applyFont="1" applyFill="1" applyBorder="1" applyAlignment="1" applyProtection="1">
      <alignment horizontal="center"/>
      <protection hidden="1"/>
    </xf>
    <xf numFmtId="0" fontId="22" fillId="0" borderId="110" xfId="0" applyFont="1" applyFill="1" applyBorder="1" applyAlignment="1" applyProtection="1">
      <alignment horizontal="center" vertical="center"/>
      <protection hidden="1"/>
    </xf>
    <xf numFmtId="0" fontId="41" fillId="0" borderId="111" xfId="0" applyFont="1" applyFill="1" applyBorder="1" applyAlignment="1" applyProtection="1">
      <alignment horizontal="center" vertical="center"/>
      <protection hidden="1"/>
    </xf>
    <xf numFmtId="165" fontId="6" fillId="0" borderId="84" xfId="0" applyNumberFormat="1" applyFont="1" applyBorder="1" applyAlignment="1" applyProtection="1">
      <alignment horizontal="right"/>
      <protection hidden="1"/>
    </xf>
    <xf numFmtId="165" fontId="6" fillId="0" borderId="85" xfId="0" applyNumberFormat="1" applyFont="1" applyBorder="1" applyAlignment="1" applyProtection="1">
      <alignment horizontal="right"/>
      <protection hidden="1"/>
    </xf>
    <xf numFmtId="0" fontId="0" fillId="0" borderId="77" xfId="0" applyFont="1" applyBorder="1" applyAlignment="1">
      <alignment horizontal="right"/>
    </xf>
    <xf numFmtId="164" fontId="6" fillId="0" borderId="78" xfId="0" applyNumberFormat="1" applyFont="1" applyBorder="1" applyAlignment="1">
      <alignment horizontal="right"/>
    </xf>
    <xf numFmtId="164" fontId="6" fillId="0" borderId="79" xfId="0" applyNumberFormat="1" applyFont="1" applyBorder="1" applyAlignment="1">
      <alignment horizontal="right"/>
    </xf>
    <xf numFmtId="0" fontId="10" fillId="0" borderId="77" xfId="0" applyFont="1" applyBorder="1" applyAlignment="1">
      <alignment horizontal="right"/>
    </xf>
    <xf numFmtId="0" fontId="10" fillId="0" borderId="89" xfId="0" applyFont="1" applyBorder="1" applyAlignment="1">
      <alignment horizontal="right"/>
    </xf>
    <xf numFmtId="164" fontId="6" fillId="0" borderId="90" xfId="0" applyNumberFormat="1" applyFont="1" applyBorder="1" applyAlignment="1">
      <alignment horizontal="right"/>
    </xf>
    <xf numFmtId="164" fontId="6" fillId="0" borderId="91" xfId="0" applyNumberFormat="1" applyFont="1" applyBorder="1" applyAlignment="1">
      <alignment horizontal="right"/>
    </xf>
    <xf numFmtId="0" fontId="0" fillId="0" borderId="80" xfId="0" applyFont="1" applyBorder="1" applyAlignment="1">
      <alignment horizontal="right"/>
    </xf>
    <xf numFmtId="164" fontId="6" fillId="0" borderId="81" xfId="0" applyNumberFormat="1" applyFont="1" applyBorder="1" applyAlignment="1">
      <alignment horizontal="right"/>
    </xf>
    <xf numFmtId="164" fontId="6" fillId="0" borderId="82" xfId="0" applyNumberFormat="1" applyFont="1" applyBorder="1" applyAlignment="1">
      <alignment horizontal="right"/>
    </xf>
    <xf numFmtId="0" fontId="0" fillId="0" borderId="83" xfId="0" applyFont="1" applyBorder="1" applyAlignment="1">
      <alignment horizontal="right"/>
    </xf>
    <xf numFmtId="0" fontId="10" fillId="0" borderId="80" xfId="0" applyFont="1" applyBorder="1" applyAlignment="1">
      <alignment horizontal="right"/>
    </xf>
    <xf numFmtId="164" fontId="16" fillId="0" borderId="81" xfId="0" applyNumberFormat="1" applyFont="1" applyBorder="1" applyAlignment="1">
      <alignment horizontal="right"/>
    </xf>
    <xf numFmtId="164" fontId="16" fillId="0" borderId="82" xfId="0" applyNumberFormat="1" applyFont="1" applyBorder="1" applyAlignment="1">
      <alignment horizontal="right"/>
    </xf>
    <xf numFmtId="0" fontId="6" fillId="0" borderId="75" xfId="0" applyFont="1" applyBorder="1" applyAlignment="1">
      <alignment horizontal="right" vertical="center"/>
    </xf>
    <xf numFmtId="0" fontId="6" fillId="0" borderId="73" xfId="0" applyFont="1" applyBorder="1" applyAlignment="1">
      <alignment horizontal="right" vertical="center"/>
    </xf>
    <xf numFmtId="0" fontId="6" fillId="0" borderId="73" xfId="0" applyFont="1" applyBorder="1" applyAlignment="1" applyProtection="1">
      <alignment horizontal="right" vertical="center"/>
      <protection hidden="1"/>
    </xf>
    <xf numFmtId="0" fontId="0" fillId="0" borderId="83" xfId="0" applyFont="1" applyBorder="1" applyAlignment="1" applyProtection="1">
      <alignment horizontal="right"/>
      <protection hidden="1"/>
    </xf>
    <xf numFmtId="0" fontId="6" fillId="0" borderId="86" xfId="0" applyFont="1" applyBorder="1" applyAlignment="1" applyProtection="1">
      <alignment horizontal="center"/>
      <protection hidden="1"/>
    </xf>
    <xf numFmtId="0" fontId="6" fillId="0" borderId="74" xfId="0" applyFont="1" applyBorder="1" applyAlignment="1">
      <alignment horizontal="right" vertical="center"/>
    </xf>
    <xf numFmtId="0" fontId="6" fillId="0" borderId="11" xfId="0" applyFont="1" applyBorder="1" applyAlignment="1" applyProtection="1">
      <alignment horizontal="right"/>
      <protection hidden="1"/>
    </xf>
    <xf numFmtId="177" fontId="6" fillId="0" borderId="12" xfId="0" applyNumberFormat="1" applyFont="1" applyBorder="1" applyAlignment="1" applyProtection="1">
      <alignment horizontal="right"/>
      <protection hidden="1"/>
    </xf>
    <xf numFmtId="0" fontId="6" fillId="0" borderId="16" xfId="0" applyFont="1" applyBorder="1" applyAlignment="1" applyProtection="1">
      <alignment horizontal="right"/>
      <protection hidden="1"/>
    </xf>
    <xf numFmtId="177" fontId="6" fillId="0" borderId="17" xfId="0" applyNumberFormat="1" applyFont="1" applyBorder="1" applyAlignment="1" applyProtection="1">
      <alignment horizontal="right"/>
      <protection hidden="1"/>
    </xf>
    <xf numFmtId="0" fontId="6" fillId="0" borderId="13" xfId="0" applyFont="1" applyBorder="1" applyAlignment="1" applyProtection="1">
      <alignment horizontal="right"/>
      <protection hidden="1"/>
    </xf>
    <xf numFmtId="177" fontId="6" fillId="0" borderId="14" xfId="0" applyNumberFormat="1" applyFont="1" applyBorder="1" applyAlignment="1" applyProtection="1">
      <alignment horizontal="right"/>
      <protection hidden="1"/>
    </xf>
    <xf numFmtId="178" fontId="6" fillId="0" borderId="85" xfId="0" applyNumberFormat="1" applyFont="1" applyBorder="1" applyAlignment="1">
      <alignment horizontal="right" vertical="center"/>
    </xf>
    <xf numFmtId="178" fontId="6" fillId="0" borderId="81" xfId="0" applyNumberFormat="1" applyFont="1" applyBorder="1" applyAlignment="1">
      <alignment horizontal="right" vertical="center"/>
    </xf>
    <xf numFmtId="178" fontId="6" fillId="0" borderId="82" xfId="0" applyNumberFormat="1" applyFont="1" applyBorder="1" applyAlignment="1">
      <alignment horizontal="right" vertical="center"/>
    </xf>
    <xf numFmtId="0" fontId="3" fillId="0" borderId="0" xfId="0" applyFont="1" applyProtection="1">
      <protection hidden="1"/>
    </xf>
    <xf numFmtId="0" fontId="15" fillId="0" borderId="0" xfId="0" applyFont="1" applyFill="1" applyProtection="1">
      <protection hidden="1"/>
    </xf>
    <xf numFmtId="176" fontId="6" fillId="0" borderId="44" xfId="0" applyNumberFormat="1" applyFont="1" applyBorder="1" applyAlignment="1" applyProtection="1">
      <alignment horizontal="center"/>
      <protection hidden="1"/>
    </xf>
    <xf numFmtId="176" fontId="6" fillId="0" borderId="48" xfId="0" applyNumberFormat="1" applyFont="1" applyBorder="1" applyAlignment="1" applyProtection="1">
      <alignment horizontal="center"/>
      <protection hidden="1"/>
    </xf>
    <xf numFmtId="176" fontId="0" fillId="0" borderId="48" xfId="0" applyNumberFormat="1" applyBorder="1" applyAlignment="1" applyProtection="1">
      <alignment horizontal="center"/>
      <protection hidden="1"/>
    </xf>
    <xf numFmtId="176" fontId="6" fillId="0" borderId="52" xfId="0" applyNumberFormat="1" applyFont="1" applyBorder="1" applyAlignment="1" applyProtection="1">
      <alignment horizontal="center"/>
      <protection hidden="1"/>
    </xf>
    <xf numFmtId="176" fontId="6" fillId="0" borderId="43" xfId="0" applyNumberFormat="1" applyFont="1" applyBorder="1" applyAlignment="1" applyProtection="1">
      <alignment horizontal="center"/>
      <protection hidden="1"/>
    </xf>
    <xf numFmtId="176" fontId="6" fillId="0" borderId="46" xfId="0" applyNumberFormat="1" applyFont="1" applyBorder="1" applyAlignment="1" applyProtection="1">
      <alignment horizontal="center"/>
      <protection hidden="1"/>
    </xf>
    <xf numFmtId="176" fontId="6" fillId="0" borderId="50" xfId="0" applyNumberFormat="1" applyFont="1" applyBorder="1" applyAlignment="1" applyProtection="1">
      <alignment horizontal="center"/>
      <protection hidden="1"/>
    </xf>
    <xf numFmtId="0" fontId="52" fillId="0" borderId="0" xfId="0" applyFont="1" applyAlignment="1" applyProtection="1">
      <alignment vertical="center"/>
      <protection hidden="1"/>
    </xf>
    <xf numFmtId="164" fontId="16" fillId="0" borderId="85" xfId="0" applyNumberFormat="1" applyFont="1" applyBorder="1" applyAlignment="1" applyProtection="1">
      <alignment horizontal="right"/>
      <protection hidden="1"/>
    </xf>
    <xf numFmtId="0" fontId="0" fillId="0" borderId="122" xfId="0" applyFont="1" applyBorder="1" applyAlignment="1">
      <alignment horizontal="right"/>
    </xf>
    <xf numFmtId="164" fontId="6" fillId="0" borderId="123" xfId="0" applyNumberFormat="1" applyFont="1" applyBorder="1" applyAlignment="1">
      <alignment horizontal="right"/>
    </xf>
    <xf numFmtId="0" fontId="0" fillId="0" borderId="0" xfId="0" applyFont="1" applyProtection="1">
      <protection hidden="1"/>
    </xf>
    <xf numFmtId="173" fontId="5" fillId="2" borderId="124" xfId="0" applyNumberFormat="1" applyFont="1" applyFill="1" applyBorder="1" applyAlignment="1" applyProtection="1">
      <alignment horizontal="center" vertical="center"/>
      <protection locked="0"/>
    </xf>
    <xf numFmtId="173" fontId="0" fillId="0" borderId="0" xfId="0" applyNumberFormat="1" applyProtection="1">
      <protection hidden="1"/>
    </xf>
    <xf numFmtId="0" fontId="0" fillId="0" borderId="3" xfId="0" applyFont="1" applyFill="1" applyBorder="1" applyAlignment="1" applyProtection="1">
      <alignment horizontal="left" vertical="center"/>
      <protection hidden="1"/>
    </xf>
    <xf numFmtId="166" fontId="5" fillId="2" borderId="41" xfId="0" applyNumberFormat="1" applyFont="1" applyFill="1" applyBorder="1" applyAlignment="1" applyProtection="1">
      <alignment horizontal="right" vertical="center"/>
      <protection locked="0"/>
    </xf>
    <xf numFmtId="0" fontId="10" fillId="2" borderId="126" xfId="0" applyFont="1" applyFill="1" applyBorder="1" applyAlignment="1" applyProtection="1">
      <alignment horizontal="center"/>
      <protection hidden="1"/>
    </xf>
    <xf numFmtId="0" fontId="54" fillId="0" borderId="9" xfId="0" applyFont="1" applyBorder="1" applyAlignment="1" applyProtection="1">
      <alignment horizontal="center"/>
      <protection hidden="1"/>
    </xf>
    <xf numFmtId="0" fontId="54" fillId="0" borderId="127" xfId="0" applyFont="1" applyBorder="1" applyAlignment="1" applyProtection="1">
      <alignment horizontal="center"/>
      <protection hidden="1"/>
    </xf>
    <xf numFmtId="0" fontId="5" fillId="0" borderId="125" xfId="0" applyFont="1" applyBorder="1" applyAlignment="1" applyProtection="1">
      <alignment horizontal="center"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4" fillId="0" borderId="9" xfId="0" applyFont="1" applyFill="1" applyBorder="1" applyAlignment="1" applyProtection="1">
      <alignment horizontal="center" vertical="center"/>
      <protection hidden="1"/>
    </xf>
    <xf numFmtId="0" fontId="54" fillId="0" borderId="127" xfId="0" applyFont="1" applyFill="1" applyBorder="1" applyAlignment="1" applyProtection="1">
      <alignment horizontal="center" vertical="center"/>
      <protection hidden="1"/>
    </xf>
    <xf numFmtId="0" fontId="7" fillId="0" borderId="128" xfId="0" applyFont="1" applyBorder="1" applyAlignment="1" applyProtection="1">
      <alignment horizontal="center" vertical="center"/>
      <protection hidden="1"/>
    </xf>
    <xf numFmtId="0" fontId="5" fillId="0" borderId="128" xfId="0" applyFont="1" applyBorder="1" applyAlignment="1" applyProtection="1">
      <alignment horizontal="center" vertical="center"/>
      <protection hidden="1"/>
    </xf>
    <xf numFmtId="0" fontId="5" fillId="0" borderId="23" xfId="0" applyFont="1" applyBorder="1" applyAlignment="1" applyProtection="1">
      <alignment horizontal="center" vertical="center"/>
      <protection hidden="1"/>
    </xf>
    <xf numFmtId="0" fontId="54" fillId="0" borderId="6" xfId="0" applyFont="1" applyFill="1" applyBorder="1" applyAlignment="1" applyProtection="1">
      <alignment horizontal="center" vertical="center"/>
      <protection hidden="1"/>
    </xf>
    <xf numFmtId="0" fontId="5" fillId="0" borderId="18" xfId="0" applyFont="1" applyFill="1" applyBorder="1" applyAlignment="1" applyProtection="1">
      <alignment horizontal="center" vertical="center"/>
      <protection hidden="1"/>
    </xf>
    <xf numFmtId="178" fontId="6" fillId="0" borderId="129" xfId="0" applyNumberFormat="1" applyFont="1" applyBorder="1" applyAlignment="1" applyProtection="1">
      <alignment horizontal="center" vertical="center"/>
      <protection hidden="1"/>
    </xf>
    <xf numFmtId="178" fontId="6" fillId="0" borderId="129" xfId="0" applyNumberFormat="1" applyFont="1" applyFill="1" applyBorder="1" applyAlignment="1" applyProtection="1">
      <alignment horizontal="center" vertical="center"/>
      <protection hidden="1"/>
    </xf>
    <xf numFmtId="178" fontId="6" fillId="0" borderId="130" xfId="0" applyNumberFormat="1" applyFont="1" applyBorder="1" applyAlignment="1" applyProtection="1">
      <alignment horizontal="center" vertical="center"/>
      <protection hidden="1"/>
    </xf>
    <xf numFmtId="2" fontId="44" fillId="0" borderId="131" xfId="0" applyNumberFormat="1" applyFont="1" applyFill="1" applyBorder="1" applyAlignment="1" applyProtection="1">
      <alignment horizontal="center"/>
      <protection hidden="1"/>
    </xf>
    <xf numFmtId="2" fontId="44" fillId="0" borderId="132" xfId="0" applyNumberFormat="1" applyFont="1" applyFill="1" applyBorder="1" applyAlignment="1" applyProtection="1">
      <alignment horizontal="center"/>
      <protection hidden="1"/>
    </xf>
    <xf numFmtId="2" fontId="45" fillId="0" borderId="132" xfId="0" applyNumberFormat="1" applyFont="1" applyFill="1" applyBorder="1" applyAlignment="1" applyProtection="1">
      <alignment horizontal="center"/>
      <protection hidden="1"/>
    </xf>
    <xf numFmtId="2" fontId="6" fillId="0" borderId="133" xfId="0" applyNumberFormat="1" applyFont="1" applyBorder="1" applyAlignment="1" applyProtection="1">
      <alignment horizontal="center" vertical="center"/>
      <protection hidden="1"/>
    </xf>
    <xf numFmtId="2" fontId="6" fillId="0" borderId="134" xfId="0" applyNumberFormat="1" applyFont="1" applyBorder="1" applyAlignment="1" applyProtection="1">
      <alignment horizontal="center" vertical="center"/>
      <protection hidden="1"/>
    </xf>
    <xf numFmtId="164" fontId="15" fillId="0" borderId="0" xfId="0" applyNumberFormat="1" applyFont="1" applyAlignment="1" applyProtection="1">
      <alignment horizontal="left" vertical="center"/>
      <protection hidden="1"/>
    </xf>
    <xf numFmtId="164" fontId="0" fillId="0" borderId="0" xfId="0" applyNumberFormat="1" applyAlignment="1" applyProtection="1">
      <alignment horizontal="center" vertical="center"/>
      <protection hidden="1"/>
    </xf>
    <xf numFmtId="164" fontId="0" fillId="0" borderId="133" xfId="0" applyNumberFormat="1" applyBorder="1" applyAlignment="1" applyProtection="1">
      <alignment horizontal="center" vertical="center"/>
      <protection hidden="1"/>
    </xf>
    <xf numFmtId="164" fontId="0" fillId="0" borderId="19" xfId="0" applyNumberFormat="1" applyBorder="1" applyAlignment="1" applyProtection="1">
      <alignment horizontal="center" vertical="center"/>
      <protection hidden="1"/>
    </xf>
    <xf numFmtId="0" fontId="0" fillId="0" borderId="19" xfId="0" applyBorder="1" applyProtection="1">
      <protection hidden="1"/>
    </xf>
    <xf numFmtId="164" fontId="0" fillId="0" borderId="19" xfId="0" applyNumberFormat="1" applyBorder="1" applyAlignment="1" applyProtection="1">
      <alignment horizontal="right" vertical="center"/>
      <protection hidden="1"/>
    </xf>
    <xf numFmtId="178" fontId="7" fillId="0" borderId="23" xfId="0" applyNumberFormat="1" applyFont="1" applyBorder="1" applyAlignment="1" applyProtection="1">
      <alignment horizontal="center"/>
      <protection hidden="1"/>
    </xf>
    <xf numFmtId="164" fontId="0" fillId="2" borderId="135" xfId="0" applyNumberFormat="1" applyFill="1" applyBorder="1" applyAlignment="1" applyProtection="1">
      <alignment horizontal="center" vertical="center"/>
      <protection hidden="1"/>
    </xf>
    <xf numFmtId="164" fontId="0" fillId="2" borderId="136" xfId="0" applyNumberFormat="1" applyFill="1" applyBorder="1" applyAlignment="1" applyProtection="1">
      <alignment horizontal="center" vertical="center"/>
      <protection hidden="1"/>
    </xf>
    <xf numFmtId="0" fontId="0" fillId="2" borderId="136" xfId="0" applyFill="1" applyBorder="1" applyProtection="1">
      <protection hidden="1"/>
    </xf>
    <xf numFmtId="164" fontId="0" fillId="2" borderId="136" xfId="0" applyNumberFormat="1" applyFill="1" applyBorder="1" applyAlignment="1" applyProtection="1">
      <alignment horizontal="right" vertical="center"/>
      <protection hidden="1"/>
    </xf>
    <xf numFmtId="178" fontId="7" fillId="2" borderId="130" xfId="0" applyNumberFormat="1" applyFont="1" applyFill="1" applyBorder="1" applyAlignment="1" applyProtection="1">
      <alignment horizontal="center"/>
      <protection hidden="1"/>
    </xf>
    <xf numFmtId="164" fontId="0" fillId="0" borderId="135" xfId="0" applyNumberFormat="1" applyBorder="1" applyAlignment="1" applyProtection="1">
      <alignment horizontal="center" vertical="center"/>
      <protection hidden="1"/>
    </xf>
    <xf numFmtId="164" fontId="0" fillId="0" borderId="136" xfId="0" applyNumberFormat="1" applyBorder="1" applyAlignment="1" applyProtection="1">
      <alignment horizontal="center" vertical="center"/>
      <protection hidden="1"/>
    </xf>
    <xf numFmtId="0" fontId="0" fillId="0" borderId="136" xfId="0" applyBorder="1" applyProtection="1">
      <protection hidden="1"/>
    </xf>
    <xf numFmtId="164" fontId="0" fillId="0" borderId="136" xfId="0" applyNumberFormat="1" applyBorder="1" applyAlignment="1" applyProtection="1">
      <alignment horizontal="right" vertical="center"/>
      <protection hidden="1"/>
    </xf>
    <xf numFmtId="178" fontId="7" fillId="0" borderId="130" xfId="0" applyNumberFormat="1" applyFont="1" applyBorder="1" applyAlignment="1" applyProtection="1">
      <alignment horizontal="center"/>
      <protection hidden="1"/>
    </xf>
    <xf numFmtId="0" fontId="0" fillId="0" borderId="135" xfId="0" applyBorder="1" applyProtection="1">
      <protection hidden="1"/>
    </xf>
    <xf numFmtId="0" fontId="0" fillId="0" borderId="136" xfId="0" applyBorder="1" applyAlignment="1" applyProtection="1">
      <alignment horizontal="right"/>
      <protection hidden="1"/>
    </xf>
    <xf numFmtId="0" fontId="0" fillId="2" borderId="135" xfId="0" applyFill="1" applyBorder="1" applyProtection="1">
      <protection hidden="1"/>
    </xf>
    <xf numFmtId="0" fontId="0" fillId="2" borderId="136" xfId="0" applyFill="1" applyBorder="1" applyAlignment="1" applyProtection="1">
      <alignment horizontal="right"/>
      <protection hidden="1"/>
    </xf>
    <xf numFmtId="178" fontId="7" fillId="0" borderId="130" xfId="0" applyNumberFormat="1" applyFont="1" applyBorder="1" applyAlignment="1" applyProtection="1">
      <alignment horizontal="center" vertical="center"/>
      <protection hidden="1"/>
    </xf>
    <xf numFmtId="178" fontId="7" fillId="2" borderId="130" xfId="0" applyNumberFormat="1" applyFont="1" applyFill="1" applyBorder="1" applyAlignment="1" applyProtection="1">
      <alignment horizontal="center" vertical="center"/>
      <protection hidden="1"/>
    </xf>
    <xf numFmtId="164" fontId="0" fillId="0" borderId="135" xfId="0" applyNumberFormat="1" applyBorder="1" applyAlignment="1" applyProtection="1">
      <alignment vertical="center"/>
      <protection hidden="1"/>
    </xf>
    <xf numFmtId="164" fontId="0" fillId="0" borderId="136" xfId="0" applyNumberFormat="1" applyBorder="1" applyAlignment="1" applyProtection="1">
      <alignment vertical="center"/>
      <protection hidden="1"/>
    </xf>
    <xf numFmtId="0" fontId="7" fillId="0" borderId="130" xfId="0" applyFont="1" applyBorder="1" applyAlignment="1" applyProtection="1">
      <alignment horizontal="center" vertical="center"/>
      <protection hidden="1"/>
    </xf>
    <xf numFmtId="164" fontId="0" fillId="2" borderId="135" xfId="0" applyNumberFormat="1" applyFill="1" applyBorder="1" applyAlignment="1" applyProtection="1">
      <alignment vertical="center"/>
      <protection hidden="1"/>
    </xf>
    <xf numFmtId="164" fontId="0" fillId="2" borderId="136" xfId="0" applyNumberFormat="1" applyFill="1" applyBorder="1" applyAlignment="1" applyProtection="1">
      <alignment vertical="center"/>
      <protection hidden="1"/>
    </xf>
    <xf numFmtId="1" fontId="7" fillId="2" borderId="130" xfId="0" applyNumberFormat="1" applyFont="1" applyFill="1" applyBorder="1" applyAlignment="1" applyProtection="1">
      <alignment horizontal="center" vertical="center"/>
      <protection hidden="1"/>
    </xf>
    <xf numFmtId="1" fontId="7" fillId="0" borderId="130" xfId="0" applyNumberFormat="1" applyFont="1" applyBorder="1" applyAlignment="1" applyProtection="1">
      <alignment horizontal="center"/>
      <protection hidden="1"/>
    </xf>
    <xf numFmtId="164" fontId="0" fillId="2" borderId="134" xfId="0" applyNumberFormat="1" applyFill="1" applyBorder="1" applyAlignment="1" applyProtection="1">
      <alignment vertical="center"/>
      <protection hidden="1"/>
    </xf>
    <xf numFmtId="164" fontId="0" fillId="2" borderId="21" xfId="0" applyNumberFormat="1" applyFill="1" applyBorder="1" applyAlignment="1" applyProtection="1">
      <alignment vertical="center"/>
      <protection hidden="1"/>
    </xf>
    <xf numFmtId="0" fontId="0" fillId="2" borderId="21" xfId="0" applyFill="1" applyBorder="1" applyProtection="1">
      <protection hidden="1"/>
    </xf>
    <xf numFmtId="164" fontId="0" fillId="2" borderId="21" xfId="0" applyNumberFormat="1" applyFill="1" applyBorder="1" applyAlignment="1" applyProtection="1">
      <alignment horizontal="right" vertical="center"/>
      <protection hidden="1"/>
    </xf>
    <xf numFmtId="178" fontId="7" fillId="2" borderId="22" xfId="0" applyNumberFormat="1" applyFont="1" applyFill="1" applyBorder="1" applyAlignment="1" applyProtection="1">
      <alignment horizontal="center"/>
      <protection hidden="1"/>
    </xf>
    <xf numFmtId="2" fontId="6" fillId="0" borderId="137" xfId="0" applyNumberFormat="1" applyFont="1" applyBorder="1" applyAlignment="1" applyProtection="1">
      <alignment horizontal="center"/>
      <protection hidden="1"/>
    </xf>
    <xf numFmtId="2" fontId="6" fillId="0" borderId="53" xfId="0" applyNumberFormat="1" applyFont="1" applyBorder="1" applyAlignment="1" applyProtection="1">
      <alignment horizontal="center" vertical="center"/>
      <protection hidden="1"/>
    </xf>
    <xf numFmtId="178" fontId="6" fillId="0" borderId="139" xfId="0" applyNumberFormat="1" applyFont="1" applyBorder="1" applyAlignment="1" applyProtection="1">
      <alignment horizontal="center" vertical="center"/>
      <protection hidden="1"/>
    </xf>
    <xf numFmtId="178" fontId="6" fillId="0" borderId="139" xfId="0" applyNumberFormat="1" applyFont="1" applyFill="1" applyBorder="1" applyAlignment="1" applyProtection="1">
      <alignment horizontal="center" vertical="center"/>
      <protection hidden="1"/>
    </xf>
    <xf numFmtId="178" fontId="6" fillId="0" borderId="140" xfId="0" applyNumberFormat="1" applyFont="1" applyBorder="1" applyAlignment="1" applyProtection="1">
      <alignment horizontal="center" vertical="center"/>
      <protection hidden="1"/>
    </xf>
    <xf numFmtId="2" fontId="44" fillId="0" borderId="141" xfId="0" applyNumberFormat="1" applyFont="1" applyFill="1" applyBorder="1" applyAlignment="1" applyProtection="1">
      <alignment horizontal="center"/>
      <protection hidden="1"/>
    </xf>
    <xf numFmtId="2" fontId="44" fillId="0" borderId="142" xfId="0" applyNumberFormat="1" applyFont="1" applyFill="1" applyBorder="1" applyAlignment="1" applyProtection="1">
      <alignment horizontal="center"/>
      <protection hidden="1"/>
    </xf>
    <xf numFmtId="2" fontId="45" fillId="0" borderId="142" xfId="0" applyNumberFormat="1" applyFont="1" applyFill="1" applyBorder="1" applyAlignment="1" applyProtection="1">
      <alignment horizontal="center"/>
      <protection hidden="1"/>
    </xf>
    <xf numFmtId="0" fontId="0" fillId="0" borderId="138" xfId="0" applyBorder="1"/>
    <xf numFmtId="164" fontId="6" fillId="0" borderId="143" xfId="0" applyNumberFormat="1" applyFont="1" applyBorder="1" applyAlignment="1">
      <alignment horizontal="right"/>
    </xf>
    <xf numFmtId="0" fontId="54" fillId="0" borderId="18" xfId="0" applyFont="1" applyFill="1" applyBorder="1" applyAlignment="1" applyProtection="1">
      <alignment horizontal="center" vertical="center"/>
      <protection hidden="1"/>
    </xf>
    <xf numFmtId="180" fontId="18" fillId="0" borderId="0" xfId="0" applyNumberFormat="1" applyFont="1" applyBorder="1" applyAlignment="1" applyProtection="1">
      <alignment horizontal="center" vertical="center"/>
      <protection hidden="1"/>
    </xf>
    <xf numFmtId="173" fontId="6" fillId="0" borderId="46" xfId="0" applyNumberFormat="1" applyFont="1" applyBorder="1" applyAlignment="1" applyProtection="1">
      <alignment horizontal="right"/>
      <protection hidden="1"/>
    </xf>
    <xf numFmtId="0" fontId="30" fillId="0" borderId="2" xfId="0" applyFont="1" applyBorder="1" applyAlignment="1" applyProtection="1">
      <alignment horizontal="right" vertical="center"/>
      <protection hidden="1"/>
    </xf>
    <xf numFmtId="178" fontId="6" fillId="2" borderId="144" xfId="0" applyNumberFormat="1" applyFont="1" applyFill="1" applyBorder="1" applyAlignment="1" applyProtection="1">
      <alignment horizontal="center" vertical="center"/>
      <protection hidden="1"/>
    </xf>
    <xf numFmtId="178" fontId="6" fillId="0" borderId="145" xfId="0" applyNumberFormat="1" applyFont="1" applyBorder="1" applyAlignment="1" applyProtection="1">
      <alignment horizontal="center" vertical="center"/>
      <protection hidden="1"/>
    </xf>
    <xf numFmtId="182" fontId="6" fillId="0" borderId="145" xfId="0" applyNumberFormat="1" applyFont="1" applyFill="1" applyBorder="1" applyAlignment="1" applyProtection="1">
      <alignment horizontal="center" vertical="center"/>
      <protection hidden="1"/>
    </xf>
    <xf numFmtId="178" fontId="6" fillId="0" borderId="145" xfId="0" applyNumberFormat="1" applyFont="1" applyFill="1" applyBorder="1" applyAlignment="1" applyProtection="1">
      <alignment horizontal="center" vertical="center"/>
      <protection hidden="1"/>
    </xf>
    <xf numFmtId="2" fontId="44" fillId="0" borderId="145" xfId="0" applyNumberFormat="1" applyFont="1" applyFill="1" applyBorder="1" applyAlignment="1" applyProtection="1">
      <alignment horizontal="center"/>
      <protection hidden="1"/>
    </xf>
    <xf numFmtId="2" fontId="45" fillId="0" borderId="145" xfId="0" applyNumberFormat="1" applyFont="1" applyFill="1" applyBorder="1" applyAlignment="1" applyProtection="1">
      <alignment horizontal="center"/>
      <protection hidden="1"/>
    </xf>
    <xf numFmtId="2" fontId="45" fillId="0" borderId="146" xfId="0" applyNumberFormat="1" applyFont="1" applyFill="1" applyBorder="1" applyAlignment="1" applyProtection="1">
      <alignment horizontal="center"/>
      <protection hidden="1"/>
    </xf>
    <xf numFmtId="2" fontId="45" fillId="0" borderId="130" xfId="0" applyNumberFormat="1" applyFont="1" applyFill="1" applyBorder="1" applyAlignment="1" applyProtection="1">
      <alignment horizontal="center"/>
      <protection hidden="1"/>
    </xf>
    <xf numFmtId="2" fontId="45" fillId="0" borderId="147" xfId="0" applyNumberFormat="1" applyFont="1" applyFill="1" applyBorder="1" applyAlignment="1" applyProtection="1">
      <alignment horizontal="center"/>
      <protection hidden="1"/>
    </xf>
    <xf numFmtId="2" fontId="45" fillId="0" borderId="148" xfId="0" applyNumberFormat="1" applyFont="1" applyFill="1" applyBorder="1" applyAlignment="1" applyProtection="1">
      <alignment horizontal="center"/>
      <protection hidden="1"/>
    </xf>
    <xf numFmtId="0" fontId="54" fillId="0" borderId="149" xfId="0" applyFont="1" applyFill="1" applyBorder="1" applyAlignment="1" applyProtection="1">
      <alignment horizontal="center" vertical="center"/>
      <protection hidden="1"/>
    </xf>
    <xf numFmtId="0" fontId="54" fillId="0" borderId="150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182" fontId="6" fillId="4" borderId="18" xfId="0" applyNumberFormat="1" applyFont="1" applyFill="1" applyBorder="1" applyAlignment="1" applyProtection="1">
      <alignment horizontal="center" vertical="center"/>
      <protection hidden="1"/>
    </xf>
    <xf numFmtId="178" fontId="6" fillId="2" borderId="131" xfId="0" applyNumberFormat="1" applyFont="1" applyFill="1" applyBorder="1" applyAlignment="1" applyProtection="1">
      <alignment horizontal="center" vertical="center"/>
      <protection hidden="1"/>
    </xf>
    <xf numFmtId="178" fontId="6" fillId="0" borderId="132" xfId="0" applyNumberFormat="1" applyFont="1" applyBorder="1" applyAlignment="1" applyProtection="1">
      <alignment horizontal="center" vertical="center"/>
      <protection hidden="1"/>
    </xf>
    <xf numFmtId="182" fontId="6" fillId="0" borderId="130" xfId="0" applyNumberFormat="1" applyFont="1" applyFill="1" applyBorder="1" applyAlignment="1" applyProtection="1">
      <alignment horizontal="center" vertical="center"/>
      <protection hidden="1"/>
    </xf>
    <xf numFmtId="178" fontId="6" fillId="2" borderId="141" xfId="0" applyNumberFormat="1" applyFont="1" applyFill="1" applyBorder="1" applyAlignment="1" applyProtection="1">
      <alignment horizontal="center" vertical="center"/>
      <protection hidden="1"/>
    </xf>
    <xf numFmtId="178" fontId="6" fillId="0" borderId="142" xfId="0" applyNumberFormat="1" applyFont="1" applyBorder="1" applyAlignment="1" applyProtection="1">
      <alignment horizontal="center" vertical="center"/>
      <protection hidden="1"/>
    </xf>
    <xf numFmtId="182" fontId="6" fillId="0" borderId="140" xfId="0" applyNumberFormat="1" applyFont="1" applyFill="1" applyBorder="1" applyAlignment="1" applyProtection="1">
      <alignment horizontal="center" vertical="center"/>
      <protection hidden="1"/>
    </xf>
    <xf numFmtId="182" fontId="0" fillId="0" borderId="131" xfId="0" applyNumberFormat="1" applyBorder="1" applyAlignment="1">
      <alignment horizontal="center"/>
    </xf>
    <xf numFmtId="182" fontId="0" fillId="0" borderId="132" xfId="0" applyNumberFormat="1" applyBorder="1" applyAlignment="1">
      <alignment horizontal="center"/>
    </xf>
    <xf numFmtId="182" fontId="0" fillId="0" borderId="130" xfId="0" applyNumberFormat="1" applyBorder="1" applyAlignment="1">
      <alignment horizontal="center"/>
    </xf>
    <xf numFmtId="182" fontId="0" fillId="0" borderId="7" xfId="0" applyNumberFormat="1" applyBorder="1" applyAlignment="1">
      <alignment horizontal="center"/>
    </xf>
    <xf numFmtId="182" fontId="0" fillId="0" borderId="8" xfId="0" applyNumberFormat="1" applyBorder="1" applyAlignment="1">
      <alignment horizontal="center"/>
    </xf>
    <xf numFmtId="182" fontId="0" fillId="0" borderId="142" xfId="0" applyNumberFormat="1" applyBorder="1" applyAlignment="1">
      <alignment horizontal="center"/>
    </xf>
    <xf numFmtId="182" fontId="0" fillId="0" borderId="140" xfId="0" applyNumberFormat="1" applyBorder="1" applyAlignment="1">
      <alignment horizontal="center"/>
    </xf>
    <xf numFmtId="2" fontId="6" fillId="5" borderId="145" xfId="0" applyNumberFormat="1" applyFont="1" applyFill="1" applyBorder="1" applyAlignment="1" applyProtection="1">
      <alignment horizontal="center"/>
      <protection hidden="1"/>
    </xf>
    <xf numFmtId="0" fontId="6" fillId="0" borderId="151" xfId="0" applyFont="1" applyBorder="1" applyAlignment="1" applyProtection="1">
      <protection hidden="1"/>
    </xf>
    <xf numFmtId="183" fontId="6" fillId="0" borderId="152" xfId="0" applyNumberFormat="1" applyFont="1" applyBorder="1" applyAlignment="1"/>
    <xf numFmtId="183" fontId="6" fillId="0" borderId="153" xfId="0" applyNumberFormat="1" applyFont="1" applyBorder="1" applyAlignment="1"/>
    <xf numFmtId="0" fontId="6" fillId="0" borderId="153" xfId="0" applyFont="1" applyBorder="1" applyAlignment="1" applyProtection="1">
      <alignment vertical="center"/>
      <protection hidden="1"/>
    </xf>
    <xf numFmtId="184" fontId="6" fillId="0" borderId="153" xfId="0" applyNumberFormat="1" applyFont="1" applyBorder="1" applyAlignment="1"/>
    <xf numFmtId="0" fontId="6" fillId="0" borderId="153" xfId="0" applyFont="1" applyBorder="1" applyAlignment="1" applyProtection="1">
      <protection hidden="1"/>
    </xf>
    <xf numFmtId="185" fontId="16" fillId="0" borderId="154" xfId="0" applyNumberFormat="1" applyFont="1" applyBorder="1" applyAlignment="1">
      <alignment horizontal="center" vertical="center"/>
    </xf>
    <xf numFmtId="0" fontId="56" fillId="0" borderId="0" xfId="0" applyFont="1" applyAlignment="1" applyProtection="1">
      <alignment vertical="top"/>
      <protection hidden="1"/>
    </xf>
    <xf numFmtId="20" fontId="8" fillId="0" borderId="4" xfId="0" applyNumberFormat="1" applyFont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170" fontId="6" fillId="0" borderId="45" xfId="0" applyNumberFormat="1" applyFont="1" applyFill="1" applyBorder="1" applyAlignment="1" applyProtection="1">
      <alignment horizontal="right" vertical="center"/>
      <protection hidden="1"/>
    </xf>
    <xf numFmtId="170" fontId="6" fillId="0" borderId="71" xfId="0" applyNumberFormat="1" applyFont="1" applyFill="1" applyBorder="1" applyAlignment="1" applyProtection="1">
      <alignment horizontal="right" vertical="center"/>
      <protection hidden="1"/>
    </xf>
    <xf numFmtId="170" fontId="6" fillId="0" borderId="63" xfId="0" applyNumberFormat="1" applyFont="1" applyFill="1" applyBorder="1" applyAlignment="1" applyProtection="1">
      <alignment horizontal="right" vertical="center"/>
      <protection hidden="1"/>
    </xf>
    <xf numFmtId="0" fontId="23" fillId="0" borderId="58" xfId="0" applyFont="1" applyFill="1" applyBorder="1" applyAlignment="1" applyProtection="1">
      <alignment horizontal="right"/>
      <protection hidden="1"/>
    </xf>
    <xf numFmtId="170" fontId="6" fillId="0" borderId="59" xfId="0" applyNumberFormat="1" applyFont="1" applyFill="1" applyBorder="1" applyAlignment="1" applyProtection="1">
      <alignment horizontal="right" vertical="center"/>
      <protection hidden="1"/>
    </xf>
    <xf numFmtId="0" fontId="24" fillId="0" borderId="70" xfId="0" applyFont="1" applyFill="1" applyBorder="1" applyAlignment="1" applyProtection="1">
      <alignment horizontal="right"/>
      <protection hidden="1"/>
    </xf>
    <xf numFmtId="0" fontId="0" fillId="0" borderId="155" xfId="0" applyBorder="1" applyProtection="1">
      <protection hidden="1"/>
    </xf>
    <xf numFmtId="0" fontId="0" fillId="0" borderId="0" xfId="0" applyAlignment="1"/>
    <xf numFmtId="180" fontId="0" fillId="2" borderId="41" xfId="0" applyNumberFormat="1" applyFill="1" applyBorder="1" applyAlignment="1" applyProtection="1">
      <alignment horizontal="center" vertical="center"/>
      <protection locked="0"/>
    </xf>
    <xf numFmtId="0" fontId="0" fillId="0" borderId="0" xfId="0" applyFont="1"/>
    <xf numFmtId="0" fontId="23" fillId="0" borderId="60" xfId="0" applyFont="1" applyFill="1" applyBorder="1" applyAlignment="1" applyProtection="1">
      <alignment horizontal="right"/>
      <protection hidden="1"/>
    </xf>
    <xf numFmtId="0" fontId="0" fillId="0" borderId="58" xfId="0" applyFill="1" applyBorder="1" applyAlignment="1" applyProtection="1">
      <alignment horizontal="right"/>
      <protection hidden="1"/>
    </xf>
    <xf numFmtId="0" fontId="31" fillId="0" borderId="60" xfId="0" applyFont="1" applyFill="1" applyBorder="1" applyAlignment="1" applyProtection="1">
      <alignment horizontal="right"/>
      <protection hidden="1"/>
    </xf>
    <xf numFmtId="0" fontId="7" fillId="0" borderId="0" xfId="0" applyFont="1" applyFill="1" applyProtection="1">
      <protection hidden="1"/>
    </xf>
    <xf numFmtId="0" fontId="53" fillId="0" borderId="0" xfId="0" applyFont="1" applyFill="1"/>
    <xf numFmtId="178" fontId="7" fillId="0" borderId="0" xfId="0" applyNumberFormat="1" applyFont="1" applyFill="1" applyProtection="1">
      <protection hidden="1"/>
    </xf>
    <xf numFmtId="164" fontId="7" fillId="0" borderId="0" xfId="0" applyNumberFormat="1" applyFont="1" applyFill="1" applyAlignment="1" applyProtection="1">
      <alignment horizontal="center"/>
      <protection hidden="1"/>
    </xf>
    <xf numFmtId="0" fontId="0" fillId="0" borderId="58" xfId="0" applyFill="1" applyBorder="1" applyAlignment="1" applyProtection="1">
      <alignment horizontal="right" vertical="center"/>
      <protection hidden="1"/>
    </xf>
    <xf numFmtId="178" fontId="0" fillId="0" borderId="59" xfId="0" applyNumberFormat="1" applyFill="1" applyBorder="1" applyAlignment="1" applyProtection="1">
      <alignment horizontal="right" vertical="center"/>
      <protection hidden="1"/>
    </xf>
    <xf numFmtId="0" fontId="0" fillId="0" borderId="62" xfId="0" applyFill="1" applyBorder="1" applyAlignment="1" applyProtection="1">
      <alignment horizontal="right" vertical="center"/>
      <protection hidden="1"/>
    </xf>
    <xf numFmtId="178" fontId="0" fillId="0" borderId="63" xfId="0" applyNumberFormat="1" applyFill="1" applyBorder="1" applyAlignment="1" applyProtection="1">
      <alignment horizontal="right" vertical="center"/>
      <protection hidden="1"/>
    </xf>
    <xf numFmtId="0" fontId="27" fillId="0" borderId="0" xfId="0" applyFont="1" applyBorder="1" applyAlignment="1" applyProtection="1">
      <alignment vertical="center"/>
      <protection hidden="1"/>
    </xf>
    <xf numFmtId="0" fontId="58" fillId="0" borderId="0" xfId="0" applyFont="1" applyAlignment="1">
      <alignment vertical="center"/>
    </xf>
    <xf numFmtId="164" fontId="58" fillId="0" borderId="0" xfId="0" applyNumberFormat="1" applyFont="1" applyAlignment="1" applyProtection="1">
      <alignment vertical="center"/>
      <protection hidden="1"/>
    </xf>
    <xf numFmtId="173" fontId="59" fillId="0" borderId="1" xfId="0" applyNumberFormat="1" applyFont="1" applyBorder="1" applyAlignment="1" applyProtection="1">
      <alignment horizontal="right" vertical="center"/>
      <protection hidden="1"/>
    </xf>
    <xf numFmtId="176" fontId="21" fillId="0" borderId="2" xfId="0" applyNumberFormat="1" applyFont="1" applyBorder="1" applyAlignment="1" applyProtection="1">
      <alignment horizontal="right" vertical="center"/>
      <protection hidden="1"/>
    </xf>
    <xf numFmtId="170" fontId="21" fillId="0" borderId="3" xfId="0" applyNumberFormat="1" applyFont="1" applyBorder="1" applyAlignment="1" applyProtection="1">
      <alignment horizontal="left" vertical="center"/>
      <protection hidden="1"/>
    </xf>
    <xf numFmtId="175" fontId="21" fillId="0" borderId="2" xfId="0" applyNumberFormat="1" applyFont="1" applyBorder="1" applyAlignment="1" applyProtection="1">
      <alignment horizontal="right" vertical="center"/>
      <protection hidden="1"/>
    </xf>
    <xf numFmtId="176" fontId="21" fillId="0" borderId="2" xfId="0" applyNumberFormat="1" applyFont="1" applyBorder="1" applyAlignment="1" applyProtection="1">
      <alignment horizontal="center" vertical="center"/>
      <protection hidden="1"/>
    </xf>
    <xf numFmtId="170" fontId="60" fillId="0" borderId="3" xfId="0" applyNumberFormat="1" applyFont="1" applyBorder="1" applyAlignment="1" applyProtection="1">
      <alignment horizontal="left" vertical="center"/>
      <protection hidden="1"/>
    </xf>
    <xf numFmtId="0" fontId="30" fillId="0" borderId="2" xfId="0" applyFont="1" applyBorder="1" applyAlignment="1" applyProtection="1">
      <alignment horizontal="right" vertical="center"/>
      <protection hidden="1"/>
    </xf>
    <xf numFmtId="0" fontId="5" fillId="0" borderId="41" xfId="0" applyFont="1" applyFill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hidden="1"/>
    </xf>
    <xf numFmtId="0" fontId="5" fillId="0" borderId="157" xfId="0" applyFont="1" applyFill="1" applyBorder="1" applyAlignment="1" applyProtection="1">
      <alignment horizontal="center" vertical="center"/>
      <protection hidden="1"/>
    </xf>
    <xf numFmtId="0" fontId="21" fillId="0" borderId="158" xfId="0" applyFont="1" applyBorder="1" applyAlignment="1" applyProtection="1">
      <alignment horizontal="center"/>
      <protection hidden="1"/>
    </xf>
    <xf numFmtId="0" fontId="0" fillId="0" borderId="159" xfId="0" applyBorder="1" applyAlignment="1" applyProtection="1">
      <alignment horizontal="center" vertical="center"/>
      <protection hidden="1"/>
    </xf>
    <xf numFmtId="171" fontId="13" fillId="0" borderId="160" xfId="0" applyNumberFormat="1" applyFont="1" applyFill="1" applyBorder="1" applyAlignment="1" applyProtection="1">
      <alignment horizontal="right" vertical="center"/>
      <protection hidden="1"/>
    </xf>
    <xf numFmtId="171" fontId="13" fillId="0" borderId="47" xfId="0" applyNumberFormat="1" applyFont="1" applyFill="1" applyBorder="1" applyAlignment="1" applyProtection="1">
      <alignment horizontal="right" vertical="center"/>
      <protection hidden="1"/>
    </xf>
    <xf numFmtId="171" fontId="6" fillId="0" borderId="47" xfId="0" applyNumberFormat="1" applyFont="1" applyFill="1" applyBorder="1" applyAlignment="1" applyProtection="1">
      <alignment horizontal="right" vertical="center"/>
      <protection hidden="1"/>
    </xf>
    <xf numFmtId="171" fontId="6" fillId="0" borderId="161" xfId="0" applyNumberFormat="1" applyFont="1" applyFill="1" applyBorder="1" applyAlignment="1" applyProtection="1">
      <alignment horizontal="right" vertical="center"/>
      <protection hidden="1"/>
    </xf>
    <xf numFmtId="171" fontId="13" fillId="0" borderId="161" xfId="0" applyNumberFormat="1" applyFont="1" applyFill="1" applyBorder="1" applyAlignment="1" applyProtection="1">
      <alignment horizontal="right" vertical="center"/>
      <protection hidden="1"/>
    </xf>
    <xf numFmtId="171" fontId="6" fillId="0" borderId="160" xfId="0" applyNumberFormat="1" applyFont="1" applyFill="1" applyBorder="1" applyAlignment="1" applyProtection="1">
      <alignment horizontal="right" vertical="center"/>
      <protection hidden="1"/>
    </xf>
    <xf numFmtId="171" fontId="13" fillId="0" borderId="162" xfId="0" applyNumberFormat="1" applyFont="1" applyFill="1" applyBorder="1" applyAlignment="1" applyProtection="1">
      <alignment horizontal="right" vertical="center"/>
      <protection hidden="1"/>
    </xf>
    <xf numFmtId="171" fontId="25" fillId="0" borderId="160" xfId="0" applyNumberFormat="1" applyFont="1" applyFill="1" applyBorder="1" applyAlignment="1" applyProtection="1">
      <alignment horizontal="right" vertical="center"/>
      <protection hidden="1"/>
    </xf>
    <xf numFmtId="171" fontId="25" fillId="0" borderId="162" xfId="0" applyNumberFormat="1" applyFont="1" applyFill="1" applyBorder="1" applyAlignment="1" applyProtection="1">
      <alignment horizontal="right" vertical="center"/>
      <protection hidden="1"/>
    </xf>
    <xf numFmtId="0" fontId="5" fillId="0" borderId="94" xfId="0" applyFont="1" applyBorder="1" applyAlignment="1" applyProtection="1">
      <alignment horizontal="center" vertical="center"/>
      <protection hidden="1"/>
    </xf>
    <xf numFmtId="171" fontId="13" fillId="0" borderId="26" xfId="0" applyNumberFormat="1" applyFont="1" applyBorder="1" applyAlignment="1" applyProtection="1">
      <alignment horizontal="center" vertical="center"/>
      <protection hidden="1"/>
    </xf>
    <xf numFmtId="171" fontId="13" fillId="0" borderId="61" xfId="0" applyNumberFormat="1" applyFont="1" applyBorder="1" applyAlignment="1" applyProtection="1">
      <alignment horizontal="center" vertical="center"/>
      <protection hidden="1"/>
    </xf>
    <xf numFmtId="171" fontId="6" fillId="0" borderId="61" xfId="0" applyNumberFormat="1" applyFont="1" applyBorder="1" applyAlignment="1" applyProtection="1">
      <alignment horizontal="center" vertical="center"/>
      <protection hidden="1"/>
    </xf>
    <xf numFmtId="171" fontId="6" fillId="0" borderId="72" xfId="0" applyNumberFormat="1" applyFont="1" applyBorder="1" applyAlignment="1" applyProtection="1">
      <alignment horizontal="center" vertical="center"/>
      <protection hidden="1"/>
    </xf>
    <xf numFmtId="171" fontId="13" fillId="0" borderId="72" xfId="0" applyNumberFormat="1" applyFont="1" applyBorder="1" applyAlignment="1" applyProtection="1">
      <alignment horizontal="center" vertical="center"/>
      <protection hidden="1"/>
    </xf>
    <xf numFmtId="171" fontId="6" fillId="0" borderId="26" xfId="0" applyNumberFormat="1" applyFont="1" applyBorder="1" applyAlignment="1" applyProtection="1">
      <alignment horizontal="center" vertical="center"/>
      <protection hidden="1"/>
    </xf>
    <xf numFmtId="171" fontId="13" fillId="0" borderId="27" xfId="0" applyNumberFormat="1" applyFont="1" applyBorder="1" applyAlignment="1" applyProtection="1">
      <alignment horizontal="center" vertical="center"/>
      <protection hidden="1"/>
    </xf>
    <xf numFmtId="0" fontId="21" fillId="0" borderId="93" xfId="0" applyFont="1" applyBorder="1" applyAlignment="1" applyProtection="1">
      <alignment horizontal="center" vertical="center"/>
      <protection hidden="1"/>
    </xf>
    <xf numFmtId="0" fontId="21" fillId="0" borderId="96" xfId="0" applyFont="1" applyBorder="1" applyAlignment="1" applyProtection="1">
      <alignment horizontal="center" vertical="center"/>
      <protection hidden="1"/>
    </xf>
    <xf numFmtId="0" fontId="32" fillId="0" borderId="61" xfId="0" applyFont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3" xfId="0" applyBorder="1" applyAlignment="1" applyProtection="1">
      <alignment horizontal="center" vertical="center"/>
      <protection hidden="1"/>
    </xf>
    <xf numFmtId="168" fontId="6" fillId="2" borderId="1" xfId="0" applyNumberFormat="1" applyFont="1" applyFill="1" applyBorder="1" applyAlignment="1" applyProtection="1">
      <alignment horizontal="center" vertical="center"/>
      <protection locked="0"/>
    </xf>
    <xf numFmtId="168" fontId="6" fillId="2" borderId="3" xfId="0" applyNumberFormat="1" applyFont="1" applyFill="1" applyBorder="1" applyAlignment="1" applyProtection="1">
      <alignment horizontal="center" vertical="center"/>
      <protection locked="0"/>
    </xf>
    <xf numFmtId="169" fontId="6" fillId="2" borderId="1" xfId="0" applyNumberFormat="1" applyFont="1" applyFill="1" applyBorder="1" applyAlignment="1" applyProtection="1">
      <alignment horizontal="center" vertical="center"/>
      <protection locked="0"/>
    </xf>
    <xf numFmtId="16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right" vertical="center"/>
      <protection hidden="1"/>
    </xf>
    <xf numFmtId="0" fontId="6" fillId="0" borderId="3" xfId="0" applyFont="1" applyFill="1" applyBorder="1" applyAlignment="1" applyProtection="1">
      <alignment horizontal="right" vertical="center"/>
      <protection hidden="1"/>
    </xf>
    <xf numFmtId="0" fontId="5" fillId="0" borderId="66" xfId="0" applyFont="1" applyBorder="1" applyAlignment="1" applyProtection="1">
      <alignment horizontal="center" vertical="center"/>
      <protection hidden="1"/>
    </xf>
    <xf numFmtId="0" fontId="5" fillId="0" borderId="68" xfId="0" applyFont="1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right" vertical="center"/>
      <protection hidden="1"/>
    </xf>
    <xf numFmtId="0" fontId="6" fillId="0" borderId="3" xfId="0" applyFont="1" applyBorder="1" applyAlignment="1" applyProtection="1">
      <alignment horizontal="right" vertical="center"/>
      <protection hidden="1"/>
    </xf>
    <xf numFmtId="173" fontId="6" fillId="0" borderId="47" xfId="0" applyNumberFormat="1" applyFont="1" applyBorder="1" applyAlignment="1" applyProtection="1">
      <alignment horizontal="right"/>
      <protection hidden="1"/>
    </xf>
    <xf numFmtId="173" fontId="6" fillId="0" borderId="46" xfId="0" applyNumberFormat="1" applyFont="1" applyBorder="1" applyAlignment="1" applyProtection="1">
      <alignment horizontal="right"/>
      <protection hidden="1"/>
    </xf>
    <xf numFmtId="173" fontId="6" fillId="0" borderId="51" xfId="0" applyNumberFormat="1" applyFont="1" applyBorder="1" applyAlignment="1" applyProtection="1">
      <alignment horizontal="right"/>
      <protection hidden="1"/>
    </xf>
    <xf numFmtId="173" fontId="6" fillId="0" borderId="50" xfId="0" applyNumberFormat="1" applyFont="1" applyBorder="1" applyAlignment="1" applyProtection="1">
      <alignment horizontal="right"/>
      <protection hidden="1"/>
    </xf>
    <xf numFmtId="168" fontId="18" fillId="0" borderId="5" xfId="0" applyNumberFormat="1" applyFont="1" applyBorder="1" applyAlignment="1" applyProtection="1">
      <alignment horizontal="center" vertical="center"/>
      <protection hidden="1"/>
    </xf>
    <xf numFmtId="0" fontId="18" fillId="0" borderId="5" xfId="0" applyFont="1" applyBorder="1" applyAlignment="1" applyProtection="1">
      <alignment horizontal="right" vertical="center"/>
      <protection hidden="1"/>
    </xf>
    <xf numFmtId="168" fontId="6" fillId="0" borderId="1" xfId="0" applyNumberFormat="1" applyFont="1" applyBorder="1" applyAlignment="1" applyProtection="1">
      <alignment horizontal="center"/>
      <protection hidden="1"/>
    </xf>
    <xf numFmtId="168" fontId="6" fillId="0" borderId="3" xfId="0" applyNumberFormat="1" applyFont="1" applyBorder="1" applyAlignment="1" applyProtection="1">
      <alignment horizontal="center"/>
      <protection hidden="1"/>
    </xf>
    <xf numFmtId="168" fontId="6" fillId="0" borderId="2" xfId="0" applyNumberFormat="1" applyFont="1" applyBorder="1" applyAlignment="1" applyProtection="1">
      <alignment horizontal="center"/>
      <protection hidden="1"/>
    </xf>
    <xf numFmtId="173" fontId="6" fillId="0" borderId="64" xfId="0" applyNumberFormat="1" applyFont="1" applyBorder="1" applyAlignment="1" applyProtection="1">
      <alignment horizontal="right"/>
      <protection hidden="1"/>
    </xf>
    <xf numFmtId="173" fontId="6" fillId="0" borderId="65" xfId="0" applyNumberFormat="1" applyFont="1" applyBorder="1" applyAlignment="1" applyProtection="1">
      <alignment horizontal="right"/>
      <protection hidden="1"/>
    </xf>
    <xf numFmtId="0" fontId="6" fillId="0" borderId="20" xfId="0" applyFont="1" applyBorder="1" applyAlignment="1" applyProtection="1">
      <alignment horizontal="right"/>
      <protection hidden="1"/>
    </xf>
    <xf numFmtId="0" fontId="6" fillId="0" borderId="19" xfId="0" applyFont="1" applyBorder="1" applyAlignment="1" applyProtection="1">
      <alignment horizontal="right"/>
      <protection hidden="1"/>
    </xf>
    <xf numFmtId="0" fontId="6" fillId="0" borderId="28" xfId="0" applyFont="1" applyBorder="1" applyAlignment="1" applyProtection="1">
      <alignment horizontal="right"/>
      <protection hidden="1"/>
    </xf>
    <xf numFmtId="0" fontId="5" fillId="0" borderId="40" xfId="0" applyFont="1" applyBorder="1" applyAlignment="1" applyProtection="1">
      <alignment horizontal="center" vertical="center"/>
      <protection hidden="1"/>
    </xf>
    <xf numFmtId="0" fontId="5" fillId="0" borderId="24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right"/>
      <protection hidden="1"/>
    </xf>
    <xf numFmtId="0" fontId="6" fillId="0" borderId="21" xfId="0" applyFont="1" applyBorder="1" applyAlignment="1" applyProtection="1">
      <alignment horizontal="right"/>
      <protection hidden="1"/>
    </xf>
    <xf numFmtId="0" fontId="6" fillId="0" borderId="29" xfId="0" applyFont="1" applyBorder="1" applyAlignment="1" applyProtection="1">
      <alignment horizontal="right"/>
      <protection hidden="1"/>
    </xf>
    <xf numFmtId="0" fontId="18" fillId="0" borderId="2" xfId="0" applyFont="1" applyBorder="1" applyAlignment="1" applyProtection="1">
      <alignment horizontal="right" vertical="center"/>
      <protection hidden="1"/>
    </xf>
    <xf numFmtId="0" fontId="18" fillId="0" borderId="3" xfId="0" applyFont="1" applyBorder="1" applyAlignment="1" applyProtection="1">
      <alignment horizontal="right" vertical="center"/>
      <protection hidden="1"/>
    </xf>
    <xf numFmtId="0" fontId="61" fillId="0" borderId="2" xfId="0" applyFont="1" applyBorder="1" applyAlignment="1" applyProtection="1">
      <alignment horizontal="right" vertical="center"/>
      <protection hidden="1"/>
    </xf>
    <xf numFmtId="0" fontId="6" fillId="0" borderId="124" xfId="0" applyFont="1" applyBorder="1" applyAlignment="1" applyProtection="1">
      <alignment horizontal="right" vertical="center"/>
      <protection hidden="1"/>
    </xf>
    <xf numFmtId="0" fontId="6" fillId="0" borderId="156" xfId="0" applyFont="1" applyBorder="1" applyAlignment="1" applyProtection="1">
      <alignment horizontal="right" vertical="center"/>
      <protection hidden="1"/>
    </xf>
    <xf numFmtId="0" fontId="6" fillId="0" borderId="125" xfId="0" applyFont="1" applyBorder="1" applyAlignment="1" applyProtection="1">
      <alignment horizontal="right" vertical="center"/>
      <protection hidden="1"/>
    </xf>
    <xf numFmtId="0" fontId="27" fillId="0" borderId="98" xfId="0" applyFont="1" applyBorder="1" applyAlignment="1" applyProtection="1">
      <alignment horizontal="center" vertical="center"/>
      <protection hidden="1"/>
    </xf>
    <xf numFmtId="0" fontId="27" fillId="0" borderId="99" xfId="0" applyFont="1" applyBorder="1" applyAlignment="1" applyProtection="1">
      <alignment horizontal="center" vertical="center"/>
      <protection hidden="1"/>
    </xf>
    <xf numFmtId="0" fontId="27" fillId="0" borderId="100" xfId="0" applyFont="1" applyBorder="1" applyAlignment="1" applyProtection="1">
      <alignment horizontal="center" vertical="center"/>
      <protection hidden="1"/>
    </xf>
    <xf numFmtId="0" fontId="5" fillId="0" borderId="101" xfId="0" applyFont="1" applyBorder="1" applyAlignment="1" applyProtection="1">
      <alignment horizontal="right" vertical="center"/>
      <protection hidden="1"/>
    </xf>
    <xf numFmtId="0" fontId="5" fillId="0" borderId="102" xfId="0" applyFont="1" applyBorder="1" applyAlignment="1" applyProtection="1">
      <alignment horizontal="right" vertical="center"/>
      <protection hidden="1"/>
    </xf>
    <xf numFmtId="0" fontId="5" fillId="0" borderId="104" xfId="0" applyFont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</cellXfs>
  <cellStyles count="177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Standard" xfId="0" builtinId="0"/>
  </cellStyles>
  <dxfs count="0"/>
  <tableStyles count="0" defaultTableStyle="TableStyleMedium9" defaultPivotStyle="PivotStyleMedium7"/>
  <colors>
    <mruColors>
      <color rgb="FFFFF803"/>
      <color rgb="FFFF9000"/>
      <color rgb="FFC05C16"/>
      <color rgb="FFFDFAD6"/>
      <color rgb="FFFAFDE0"/>
      <color rgb="FFFFA1A3"/>
      <color rgb="FFFF65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5560715686900663E-2"/>
          <c:y val="3.3710882293559459E-2"/>
          <c:w val="0.90708789897766273"/>
          <c:h val="0.94818499193624894"/>
        </c:manualLayout>
      </c:layout>
      <c:scatterChart>
        <c:scatterStyle val="smoothMarker"/>
        <c:varyColors val="0"/>
        <c:ser>
          <c:idx val="0"/>
          <c:order val="0"/>
          <c:spPr>
            <a:ln w="2540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Grafik'!$U$8:$U$193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9.33047121724411</c:v>
                </c:pt>
                <c:pt idx="22">
                  <c:v>13.173001406453523</c:v>
                </c:pt>
                <c:pt idx="23">
                  <c:v>14.982779244062613</c:v>
                </c:pt>
                <c:pt idx="24">
                  <c:v>16.351261997771587</c:v>
                </c:pt>
                <c:pt idx="25">
                  <c:v>17.485606176916406</c:v>
                </c:pt>
                <c:pt idx="26">
                  <c:v>18.467419907572037</c:v>
                </c:pt>
                <c:pt idx="27">
                  <c:v>19.339025998303669</c:v>
                </c:pt>
                <c:pt idx="28">
                  <c:v>20.125796805593211</c:v>
                </c:pt>
                <c:pt idx="29">
                  <c:v>20.844398961756553</c:v>
                </c:pt>
                <c:pt idx="30">
                  <c:v>21.506496926779903</c:v>
                </c:pt>
                <c:pt idx="31">
                  <c:v>22.120644508777787</c:v>
                </c:pt>
                <c:pt idx="32">
                  <c:v>22.693343553556133</c:v>
                </c:pt>
                <c:pt idx="33">
                  <c:v>23.229678823945051</c:v>
                </c:pt>
                <c:pt idx="34">
                  <c:v>23.733719864605348</c:v>
                </c:pt>
                <c:pt idx="35">
                  <c:v>24.208786695558615</c:v>
                </c:pt>
                <c:pt idx="36">
                  <c:v>24.65763189486006</c:v>
                </c:pt>
                <c:pt idx="37">
                  <c:v>25.08256919681952</c:v>
                </c:pt>
                <c:pt idx="38">
                  <c:v>25.485566675511564</c:v>
                </c:pt>
                <c:pt idx="39">
                  <c:v>25.868315776125087</c:v>
                </c:pt>
                <c:pt idx="40">
                  <c:v>26.232283449024976</c:v>
                </c:pt>
                <c:pt idx="41">
                  <c:v>26.578752195363677</c:v>
                </c:pt>
                <c:pt idx="42">
                  <c:v>26.908851292624945</c:v>
                </c:pt>
                <c:pt idx="43">
                  <c:v>27.223581471251805</c:v>
                </c:pt>
                <c:pt idx="44">
                  <c:v>27.523834651993866</c:v>
                </c:pt>
                <c:pt idx="45">
                  <c:v>27.810409905124061</c:v>
                </c:pt>
                <c:pt idx="46">
                  <c:v>28.084026482620629</c:v>
                </c:pt>
                <c:pt idx="47">
                  <c:v>28.34533455622676</c:v>
                </c:pt>
                <c:pt idx="48">
                  <c:v>28.594924138290594</c:v>
                </c:pt>
                <c:pt idx="49">
                  <c:v>28.833332549088425</c:v>
                </c:pt>
                <c:pt idx="50">
                  <c:v>29.061050711085159</c:v>
                </c:pt>
                <c:pt idx="51">
                  <c:v>29.278528488611812</c:v>
                </c:pt>
                <c:pt idx="52">
                  <c:v>29.486179244766333</c:v>
                </c:pt>
                <c:pt idx="53">
                  <c:v>29.684383751831945</c:v>
                </c:pt>
                <c:pt idx="54">
                  <c:v>29.873493564210321</c:v>
                </c:pt>
                <c:pt idx="55">
                  <c:v>30.053833941707126</c:v>
                </c:pt>
                <c:pt idx="56">
                  <c:v>30.225706394449844</c:v>
                </c:pt>
                <c:pt idx="57">
                  <c:v>30.389390907670759</c:v>
                </c:pt>
                <c:pt idx="58">
                  <c:v>30.545147894222623</c:v>
                </c:pt>
                <c:pt idx="59">
                  <c:v>30.6932199144062</c:v>
                </c:pt>
                <c:pt idx="60">
                  <c:v>30.83383319601154</c:v>
                </c:pt>
                <c:pt idx="61">
                  <c:v>30.967198982072091</c:v>
                </c:pt>
                <c:pt idx="62">
                  <c:v>31.093514729421145</c:v>
                </c:pt>
                <c:pt idx="63">
                  <c:v>31.212965177529952</c:v>
                </c:pt>
                <c:pt idx="64">
                  <c:v>31.325723304133135</c:v>
                </c:pt>
                <c:pt idx="65">
                  <c:v>31.431951181682905</c:v>
                </c:pt>
                <c:pt idx="66">
                  <c:v>31.531800746623958</c:v>
                </c:pt>
                <c:pt idx="67">
                  <c:v>31.625414491769106</c:v>
                </c:pt>
                <c:pt idx="68">
                  <c:v>31.71292609061743</c:v>
                </c:pt>
                <c:pt idx="69">
                  <c:v>31.794460961243374</c:v>
                </c:pt>
                <c:pt idx="70">
                  <c:v>31.870136776360937</c:v>
                </c:pt>
                <c:pt idx="71">
                  <c:v>31.940063925293998</c:v>
                </c:pt>
                <c:pt idx="72">
                  <c:v>32.004345932839158</c:v>
                </c:pt>
                <c:pt idx="73">
                  <c:v>32.063079839371824</c:v>
                </c:pt>
                <c:pt idx="74">
                  <c:v>32.116356545997633</c:v>
                </c:pt>
                <c:pt idx="75">
                  <c:v>32.164261128079886</c:v>
                </c:pt>
                <c:pt idx="76">
                  <c:v>32.206873120063733</c:v>
                </c:pt>
                <c:pt idx="77">
                  <c:v>32.244266774163293</c:v>
                </c:pt>
                <c:pt idx="78">
                  <c:v>32.276511295167609</c:v>
                </c:pt>
                <c:pt idx="79">
                  <c:v>32.303671053350797</c:v>
                </c:pt>
                <c:pt idx="80">
                  <c:v>32.32580577723138</c:v>
                </c:pt>
                <c:pt idx="81">
                  <c:v>32.342970727718296</c:v>
                </c:pt>
                <c:pt idx="82">
                  <c:v>32.355216854990715</c:v>
                </c:pt>
                <c:pt idx="83">
                  <c:v>32.362590939295671</c:v>
                </c:pt>
                <c:pt idx="84">
                  <c:v>32.365135716697182</c:v>
                </c:pt>
                <c:pt idx="85">
                  <c:v>32.362889990674944</c:v>
                </c:pt>
                <c:pt idx="86">
                  <c:v>32.35588873035266</c:v>
                </c:pt>
                <c:pt idx="87">
                  <c:v>32.344163156020045</c:v>
                </c:pt>
                <c:pt idx="88">
                  <c:v>32.327740812514605</c:v>
                </c:pt>
                <c:pt idx="89">
                  <c:v>32.306645630932223</c:v>
                </c:pt>
                <c:pt idx="90">
                  <c:v>32.280897979044937</c:v>
                </c:pt>
                <c:pt idx="91">
                  <c:v>32.25051470072458</c:v>
                </c:pt>
                <c:pt idx="92">
                  <c:v>32.215509144584416</c:v>
                </c:pt>
                <c:pt idx="93">
                  <c:v>32.175891181977477</c:v>
                </c:pt>
                <c:pt idx="94">
                  <c:v>32.13166721440939</c:v>
                </c:pt>
                <c:pt idx="95">
                  <c:v>32.082840170349471</c:v>
                </c:pt>
                <c:pt idx="96">
                  <c:v>32.029409491345803</c:v>
                </c:pt>
                <c:pt idx="97">
                  <c:v>31.971371107270159</c:v>
                </c:pt>
                <c:pt idx="98">
                  <c:v>31.908717400438832</c:v>
                </c:pt>
                <c:pt idx="99">
                  <c:v>31.841437158268661</c:v>
                </c:pt>
                <c:pt idx="100">
                  <c:v>31.7695155140363</c:v>
                </c:pt>
                <c:pt idx="101">
                  <c:v>31.692933875215772</c:v>
                </c:pt>
                <c:pt idx="102">
                  <c:v>31.611669838757734</c:v>
                </c:pt>
                <c:pt idx="103">
                  <c:v>31.525697092567555</c:v>
                </c:pt>
                <c:pt idx="104">
                  <c:v>31.434985302306302</c:v>
                </c:pt>
                <c:pt idx="105">
                  <c:v>31.339499982504947</c:v>
                </c:pt>
                <c:pt idx="106">
                  <c:v>31.239202350823348</c:v>
                </c:pt>
                <c:pt idx="107">
                  <c:v>31.134049164112582</c:v>
                </c:pt>
                <c:pt idx="108">
                  <c:v>31.023992534742149</c:v>
                </c:pt>
                <c:pt idx="109">
                  <c:v>30.908979725431266</c:v>
                </c:pt>
                <c:pt idx="110">
                  <c:v>30.788952920567567</c:v>
                </c:pt>
                <c:pt idx="111">
                  <c:v>30.663848971707353</c:v>
                </c:pt>
                <c:pt idx="112">
                  <c:v>30.533599114616266</c:v>
                </c:pt>
                <c:pt idx="113">
                  <c:v>30.398128654824347</c:v>
                </c:pt>
                <c:pt idx="114">
                  <c:v>30.257356618220001</c:v>
                </c:pt>
                <c:pt idx="115">
                  <c:v>30.111195362692513</c:v>
                </c:pt>
                <c:pt idx="116">
                  <c:v>29.959550146218419</c:v>
                </c:pt>
                <c:pt idx="117">
                  <c:v>29.802318646083563</c:v>
                </c:pt>
                <c:pt idx="118">
                  <c:v>29.639390423087775</c:v>
                </c:pt>
                <c:pt idx="119">
                  <c:v>29.470646323595247</c:v>
                </c:pt>
                <c:pt idx="120">
                  <c:v>29.295957811115159</c:v>
                </c:pt>
                <c:pt idx="121">
                  <c:v>29.115186217700568</c:v>
                </c:pt>
                <c:pt idx="122">
                  <c:v>28.92818190377676</c:v>
                </c:pt>
                <c:pt idx="123">
                  <c:v>28.734783312995773</c:v>
                </c:pt>
                <c:pt idx="124">
                  <c:v>28.534815906280414</c:v>
                </c:pt>
                <c:pt idx="125">
                  <c:v>28.328090956263395</c:v>
                </c:pt>
                <c:pt idx="126">
                  <c:v>28.114404179717326</c:v>
                </c:pt>
                <c:pt idx="127">
                  <c:v>27.893534181138421</c:v>
                </c:pt>
                <c:pt idx="128">
                  <c:v>27.665240675172356</c:v>
                </c:pt>
                <c:pt idx="129">
                  <c:v>27.429262448765542</c:v>
                </c:pt>
                <c:pt idx="130">
                  <c:v>27.185315015412868</c:v>
                </c:pt>
                <c:pt idx="131">
                  <c:v>26.933087903148362</c:v>
                </c:pt>
                <c:pt idx="132">
                  <c:v>26.67224150431241</c:v>
                </c:pt>
                <c:pt idx="133">
                  <c:v>26.402403397715204</c:v>
                </c:pt>
                <c:pt idx="134">
                  <c:v>26.123164031343606</c:v>
                </c:pt>
                <c:pt idx="135">
                  <c:v>25.834071624502826</c:v>
                </c:pt>
                <c:pt idx="136">
                  <c:v>25.534626109814553</c:v>
                </c:pt>
                <c:pt idx="137">
                  <c:v>25.22427188437814</c:v>
                </c:pt>
                <c:pt idx="138">
                  <c:v>24.902389070709319</c:v>
                </c:pt>
                <c:pt idx="139">
                  <c:v>24.568282894611002</c:v>
                </c:pt>
                <c:pt idx="140">
                  <c:v>24.221170658261599</c:v>
                </c:pt>
                <c:pt idx="141">
                  <c:v>23.860165606495286</c:v>
                </c:pt>
                <c:pt idx="142">
                  <c:v>23.484256727891534</c:v>
                </c:pt>
                <c:pt idx="143">
                  <c:v>23.09228316131788</c:v>
                </c:pt>
                <c:pt idx="144">
                  <c:v>22.682901331166022</c:v>
                </c:pt>
                <c:pt idx="145">
                  <c:v>22.254542109002728</c:v>
                </c:pt>
                <c:pt idx="146">
                  <c:v>21.805354023747952</c:v>
                </c:pt>
                <c:pt idx="147">
                  <c:v>21.33312651642467</c:v>
                </c:pt>
                <c:pt idx="148">
                  <c:v>20.835183915234211</c:v>
                </c:pt>
                <c:pt idx="149">
                  <c:v>20.308235166259919</c:v>
                </c:pt>
                <c:pt idx="150">
                  <c:v>19.748154364425943</c:v>
                </c:pt>
                <c:pt idx="151">
                  <c:v>19.149648540788121</c:v>
                </c:pt>
                <c:pt idx="152">
                  <c:v>18.505732478139805</c:v>
                </c:pt>
                <c:pt idx="153">
                  <c:v>17.80685252991583</c:v>
                </c:pt>
                <c:pt idx="154">
                  <c:v>17.039320849285048</c:v>
                </c:pt>
                <c:pt idx="155">
                  <c:v>16.182250206106232</c:v>
                </c:pt>
                <c:pt idx="156">
                  <c:v>15.200736129887787</c:v>
                </c:pt>
                <c:pt idx="157">
                  <c:v>14.027427007485414</c:v>
                </c:pt>
                <c:pt idx="158">
                  <c:v>12.491746481438099</c:v>
                </c:pt>
                <c:pt idx="159">
                  <c:v>9.3686048657789911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899-5649-96E2-64AEA5682F16}"/>
            </c:ext>
          </c:extLst>
        </c:ser>
        <c:ser>
          <c:idx val="1"/>
          <c:order val="1"/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Grafik'!$T$8:$T$193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7.9060904709393185</c:v>
                </c:pt>
                <c:pt idx="22">
                  <c:v>4.0635602817299628</c:v>
                </c:pt>
                <c:pt idx="23">
                  <c:v>2.2537824441208727</c:v>
                </c:pt>
                <c:pt idx="24">
                  <c:v>0.88529969041184131</c:v>
                </c:pt>
                <c:pt idx="25">
                  <c:v>-0.24904448873297724</c:v>
                </c:pt>
                <c:pt idx="26">
                  <c:v>-1.2308582193885513</c:v>
                </c:pt>
                <c:pt idx="27">
                  <c:v>-2.1024643101201832</c:v>
                </c:pt>
                <c:pt idx="28">
                  <c:v>-2.8892351174097826</c:v>
                </c:pt>
                <c:pt idx="29">
                  <c:v>-3.6078372735730682</c:v>
                </c:pt>
                <c:pt idx="30">
                  <c:v>-4.2699352385964744</c:v>
                </c:pt>
                <c:pt idx="31">
                  <c:v>-4.8840828205943012</c:v>
                </c:pt>
                <c:pt idx="32">
                  <c:v>-5.4567818653727045</c:v>
                </c:pt>
                <c:pt idx="33">
                  <c:v>-5.9931171357616222</c:v>
                </c:pt>
                <c:pt idx="34">
                  <c:v>-6.4971581764219195</c:v>
                </c:pt>
                <c:pt idx="35">
                  <c:v>-6.9722250073751866</c:v>
                </c:pt>
                <c:pt idx="36">
                  <c:v>-7.4210702066766316</c:v>
                </c:pt>
                <c:pt idx="37">
                  <c:v>-7.8460075086360916</c:v>
                </c:pt>
                <c:pt idx="38">
                  <c:v>-8.249004987328135</c:v>
                </c:pt>
                <c:pt idx="39">
                  <c:v>-8.6317540879416583</c:v>
                </c:pt>
                <c:pt idx="40">
                  <c:v>-8.9957217608415476</c:v>
                </c:pt>
                <c:pt idx="41">
                  <c:v>-9.3421905071802485</c:v>
                </c:pt>
                <c:pt idx="42">
                  <c:v>-9.6722896044415165</c:v>
                </c:pt>
                <c:pt idx="43">
                  <c:v>-9.9870197830683765</c:v>
                </c:pt>
                <c:pt idx="44">
                  <c:v>-10.287272963810437</c:v>
                </c:pt>
                <c:pt idx="45">
                  <c:v>-10.573848216940576</c:v>
                </c:pt>
                <c:pt idx="46">
                  <c:v>-10.847464794437201</c:v>
                </c:pt>
                <c:pt idx="47">
                  <c:v>-11.108772868043275</c:v>
                </c:pt>
                <c:pt idx="48">
                  <c:v>-11.358362450107165</c:v>
                </c:pt>
                <c:pt idx="49">
                  <c:v>-11.596770860904996</c:v>
                </c:pt>
                <c:pt idx="50">
                  <c:v>-11.82448902290173</c:v>
                </c:pt>
                <c:pt idx="51">
                  <c:v>-12.041966800428384</c:v>
                </c:pt>
                <c:pt idx="52">
                  <c:v>-12.249617556582905</c:v>
                </c:pt>
                <c:pt idx="53">
                  <c:v>-12.447822063648459</c:v>
                </c:pt>
                <c:pt idx="54">
                  <c:v>-12.636931876026892</c:v>
                </c:pt>
                <c:pt idx="55">
                  <c:v>-12.81727225352364</c:v>
                </c:pt>
                <c:pt idx="56">
                  <c:v>-12.989144706266359</c:v>
                </c:pt>
                <c:pt idx="57">
                  <c:v>-13.152829219487273</c:v>
                </c:pt>
                <c:pt idx="58">
                  <c:v>-13.308586206039195</c:v>
                </c:pt>
                <c:pt idx="59">
                  <c:v>-13.456658226222771</c:v>
                </c:pt>
                <c:pt idx="60">
                  <c:v>-13.597271507828054</c:v>
                </c:pt>
                <c:pt idx="61">
                  <c:v>-13.730637293888662</c:v>
                </c:pt>
                <c:pt idx="62">
                  <c:v>-13.856953041237659</c:v>
                </c:pt>
                <c:pt idx="63">
                  <c:v>-13.976403489346524</c:v>
                </c:pt>
                <c:pt idx="64">
                  <c:v>-14.089161615949706</c:v>
                </c:pt>
                <c:pt idx="65">
                  <c:v>-14.19538949349942</c:v>
                </c:pt>
                <c:pt idx="66">
                  <c:v>-14.295239058440472</c:v>
                </c:pt>
                <c:pt idx="67">
                  <c:v>-14.388852803585678</c:v>
                </c:pt>
                <c:pt idx="68">
                  <c:v>-14.476364402434001</c:v>
                </c:pt>
                <c:pt idx="69">
                  <c:v>-14.557899273059888</c:v>
                </c:pt>
                <c:pt idx="70">
                  <c:v>-14.633575088177452</c:v>
                </c:pt>
                <c:pt idx="71">
                  <c:v>-14.70350223711057</c:v>
                </c:pt>
                <c:pt idx="72">
                  <c:v>-14.767784244655729</c:v>
                </c:pt>
                <c:pt idx="73">
                  <c:v>-14.826518151188395</c:v>
                </c:pt>
                <c:pt idx="74">
                  <c:v>-14.879794857814147</c:v>
                </c:pt>
                <c:pt idx="75">
                  <c:v>-14.927699439896458</c:v>
                </c:pt>
                <c:pt idx="76">
                  <c:v>-14.970311431880305</c:v>
                </c:pt>
                <c:pt idx="77">
                  <c:v>-15.007705085979865</c:v>
                </c:pt>
                <c:pt idx="78">
                  <c:v>-15.03994960698418</c:v>
                </c:pt>
                <c:pt idx="79">
                  <c:v>-15.067109365167369</c:v>
                </c:pt>
                <c:pt idx="80">
                  <c:v>-15.089244089047952</c:v>
                </c:pt>
                <c:pt idx="81">
                  <c:v>-15.106409039534867</c:v>
                </c:pt>
                <c:pt idx="82">
                  <c:v>-15.11865516680723</c:v>
                </c:pt>
                <c:pt idx="83">
                  <c:v>-15.126029251112243</c:v>
                </c:pt>
                <c:pt idx="84">
                  <c:v>-15.128574028513754</c:v>
                </c:pt>
                <c:pt idx="85">
                  <c:v>-15.126328302491515</c:v>
                </c:pt>
                <c:pt idx="86">
                  <c:v>-15.119327042169232</c:v>
                </c:pt>
                <c:pt idx="87">
                  <c:v>-15.10760146783656</c:v>
                </c:pt>
                <c:pt idx="88">
                  <c:v>-15.091179124331177</c:v>
                </c:pt>
                <c:pt idx="89">
                  <c:v>-15.070083942748738</c:v>
                </c:pt>
                <c:pt idx="90">
                  <c:v>-15.044336290861509</c:v>
                </c:pt>
                <c:pt idx="91">
                  <c:v>-15.013953012541094</c:v>
                </c:pt>
                <c:pt idx="92">
                  <c:v>-14.978947456400988</c:v>
                </c:pt>
                <c:pt idx="93">
                  <c:v>-14.939329493794048</c:v>
                </c:pt>
                <c:pt idx="94">
                  <c:v>-14.895105526225905</c:v>
                </c:pt>
                <c:pt idx="95">
                  <c:v>-14.846278482166042</c:v>
                </c:pt>
                <c:pt idx="96">
                  <c:v>-14.792847803162374</c:v>
                </c:pt>
                <c:pt idx="97">
                  <c:v>-14.734809419086673</c:v>
                </c:pt>
                <c:pt idx="98">
                  <c:v>-14.672155712255403</c:v>
                </c:pt>
                <c:pt idx="99">
                  <c:v>-14.604875470085176</c:v>
                </c:pt>
                <c:pt idx="100">
                  <c:v>-14.532953825852871</c:v>
                </c:pt>
                <c:pt idx="101">
                  <c:v>-14.456372187032287</c:v>
                </c:pt>
                <c:pt idx="102">
                  <c:v>-14.375108150574306</c:v>
                </c:pt>
                <c:pt idx="103">
                  <c:v>-14.289135404384126</c:v>
                </c:pt>
                <c:pt idx="104">
                  <c:v>-14.198423614122873</c:v>
                </c:pt>
                <c:pt idx="105">
                  <c:v>-14.102938294321518</c:v>
                </c:pt>
                <c:pt idx="106">
                  <c:v>-14.002640662639919</c:v>
                </c:pt>
                <c:pt idx="107">
                  <c:v>-13.897487475929097</c:v>
                </c:pt>
                <c:pt idx="108">
                  <c:v>-13.787430846558721</c:v>
                </c:pt>
                <c:pt idx="109">
                  <c:v>-13.672418037247837</c:v>
                </c:pt>
                <c:pt idx="110">
                  <c:v>-13.552391232384139</c:v>
                </c:pt>
                <c:pt idx="111">
                  <c:v>-13.427287283523924</c:v>
                </c:pt>
                <c:pt idx="112">
                  <c:v>-13.297037426432837</c:v>
                </c:pt>
                <c:pt idx="113">
                  <c:v>-13.161566966640862</c:v>
                </c:pt>
                <c:pt idx="114">
                  <c:v>-13.020794930036573</c:v>
                </c:pt>
                <c:pt idx="115">
                  <c:v>-12.874633674509084</c:v>
                </c:pt>
                <c:pt idx="116">
                  <c:v>-12.72298845803499</c:v>
                </c:pt>
                <c:pt idx="117">
                  <c:v>-12.565756957900135</c:v>
                </c:pt>
                <c:pt idx="118">
                  <c:v>-12.402828734904347</c:v>
                </c:pt>
                <c:pt idx="119">
                  <c:v>-12.234084635411818</c:v>
                </c:pt>
                <c:pt idx="120">
                  <c:v>-12.05939612293173</c:v>
                </c:pt>
                <c:pt idx="121">
                  <c:v>-11.87862452951714</c:v>
                </c:pt>
                <c:pt idx="122">
                  <c:v>-11.691620215593275</c:v>
                </c:pt>
                <c:pt idx="123">
                  <c:v>-11.498221624812345</c:v>
                </c:pt>
                <c:pt idx="124">
                  <c:v>-11.298254218096986</c:v>
                </c:pt>
                <c:pt idx="125">
                  <c:v>-11.09152926807991</c:v>
                </c:pt>
                <c:pt idx="126">
                  <c:v>-10.877842491533841</c:v>
                </c:pt>
                <c:pt idx="127">
                  <c:v>-10.656972492954992</c:v>
                </c:pt>
                <c:pt idx="128">
                  <c:v>-10.428678986988871</c:v>
                </c:pt>
                <c:pt idx="129">
                  <c:v>-10.192700760582113</c:v>
                </c:pt>
                <c:pt idx="130">
                  <c:v>-9.9487533272294399</c:v>
                </c:pt>
                <c:pt idx="131">
                  <c:v>-9.6965262149648765</c:v>
                </c:pt>
                <c:pt idx="132">
                  <c:v>-9.4356798161289817</c:v>
                </c:pt>
                <c:pt idx="133">
                  <c:v>-9.1658417095317759</c:v>
                </c:pt>
                <c:pt idx="134">
                  <c:v>-8.8866023431601775</c:v>
                </c:pt>
                <c:pt idx="135">
                  <c:v>-8.5975099363193976</c:v>
                </c:pt>
                <c:pt idx="136">
                  <c:v>-8.2980644216310679</c:v>
                </c:pt>
                <c:pt idx="137">
                  <c:v>-7.9877101961947119</c:v>
                </c:pt>
                <c:pt idx="138">
                  <c:v>-7.6658273825258902</c:v>
                </c:pt>
                <c:pt idx="139">
                  <c:v>-7.3317212064275736</c:v>
                </c:pt>
                <c:pt idx="140">
                  <c:v>-6.9846089700781704</c:v>
                </c:pt>
                <c:pt idx="141">
                  <c:v>-6.6236039183118578</c:v>
                </c:pt>
                <c:pt idx="142">
                  <c:v>-6.2476950397080486</c:v>
                </c:pt>
                <c:pt idx="143">
                  <c:v>-5.8557214731343947</c:v>
                </c:pt>
                <c:pt idx="144">
                  <c:v>-5.4463396429825934</c:v>
                </c:pt>
                <c:pt idx="145">
                  <c:v>-5.0179804208192991</c:v>
                </c:pt>
                <c:pt idx="146">
                  <c:v>-4.5687923355645239</c:v>
                </c:pt>
                <c:pt idx="147">
                  <c:v>-4.0965648282412417</c:v>
                </c:pt>
                <c:pt idx="148">
                  <c:v>-3.5986222270507824</c:v>
                </c:pt>
                <c:pt idx="149">
                  <c:v>-3.0716734780764909</c:v>
                </c:pt>
                <c:pt idx="150">
                  <c:v>-2.5115926762425147</c:v>
                </c:pt>
                <c:pt idx="151">
                  <c:v>-1.9130868526046356</c:v>
                </c:pt>
                <c:pt idx="152">
                  <c:v>-1.2691707899563198</c:v>
                </c:pt>
                <c:pt idx="153">
                  <c:v>-0.57029084173234423</c:v>
                </c:pt>
                <c:pt idx="154">
                  <c:v>0.19724083889838084</c:v>
                </c:pt>
                <c:pt idx="155">
                  <c:v>1.054311482077253</c:v>
                </c:pt>
                <c:pt idx="156">
                  <c:v>2.0358255582956986</c:v>
                </c:pt>
                <c:pt idx="157">
                  <c:v>3.2091346806980141</c:v>
                </c:pt>
                <c:pt idx="158">
                  <c:v>4.7448152067453861</c:v>
                </c:pt>
                <c:pt idx="159">
                  <c:v>7.8679568224044374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899-5649-96E2-64AEA5682F16}"/>
            </c:ext>
          </c:extLst>
        </c:ser>
        <c:ser>
          <c:idx val="2"/>
          <c:order val="2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Grafik'!$W$8:$W$193</c:f>
              <c:numCache>
                <c:formatCode>0.00</c:formatCode>
                <c:ptCount val="186"/>
                <c:pt idx="0">
                  <c:v>-40.775759223676779</c:v>
                </c:pt>
                <c:pt idx="1">
                  <c:v>-40.775759223676779</c:v>
                </c:pt>
                <c:pt idx="2">
                  <c:v>-37.852133239795847</c:v>
                </c:pt>
                <c:pt idx="3">
                  <c:v>-35.137252117839402</c:v>
                </c:pt>
                <c:pt idx="4">
                  <c:v>-33.287965645663249</c:v>
                </c:pt>
                <c:pt idx="5">
                  <c:v>-31.807606650574538</c:v>
                </c:pt>
                <c:pt idx="6">
                  <c:v>-30.548230331867313</c:v>
                </c:pt>
                <c:pt idx="7">
                  <c:v>-29.441273344194752</c:v>
                </c:pt>
                <c:pt idx="8">
                  <c:v>-28.448166774034735</c:v>
                </c:pt>
                <c:pt idx="9">
                  <c:v>-27.544604282734305</c:v>
                </c:pt>
                <c:pt idx="10">
                  <c:v>-26.714065419574126</c:v>
                </c:pt>
                <c:pt idx="11">
                  <c:v>-25.944696619434076</c:v>
                </c:pt>
                <c:pt idx="12">
                  <c:v>-25.227638448833243</c:v>
                </c:pt>
                <c:pt idx="13">
                  <c:v>-24.556054621994193</c:v>
                </c:pt>
                <c:pt idx="14">
                  <c:v>-23.9245329995478</c:v>
                </c:pt>
                <c:pt idx="15">
                  <c:v>-23.328697738123449</c:v>
                </c:pt>
                <c:pt idx="16">
                  <c:v>-22.764948048198526</c:v>
                </c:pt>
                <c:pt idx="17">
                  <c:v>-22.230276356189837</c:v>
                </c:pt>
                <c:pt idx="18">
                  <c:v>-21.722138171831329</c:v>
                </c:pt>
                <c:pt idx="19">
                  <c:v>-21.238356715111145</c:v>
                </c:pt>
                <c:pt idx="20">
                  <c:v>-20.777051560617529</c:v>
                </c:pt>
                <c:pt idx="21">
                  <c:v>-20.336584277600835</c:v>
                </c:pt>
                <c:pt idx="22">
                  <c:v>-19.91551635152825</c:v>
                </c:pt>
                <c:pt idx="23">
                  <c:v>-19.512576146669907</c:v>
                </c:pt>
                <c:pt idx="24">
                  <c:v>-19.126632635251624</c:v>
                </c:pt>
                <c:pt idx="25">
                  <c:v>-18.75667426664219</c:v>
                </c:pt>
                <c:pt idx="26">
                  <c:v>-18.401791793699985</c:v>
                </c:pt>
                <c:pt idx="27">
                  <c:v>-18.061164182883388</c:v>
                </c:pt>
                <c:pt idx="28">
                  <c:v>-17.734046954281411</c:v>
                </c:pt>
                <c:pt idx="29">
                  <c:v>-17.419762455875034</c:v>
                </c:pt>
                <c:pt idx="30">
                  <c:v>-17.117691691877685</c:v>
                </c:pt>
                <c:pt idx="31">
                  <c:v>-16.827267410496297</c:v>
                </c:pt>
                <c:pt idx="32">
                  <c:v>-16.547968220472494</c:v>
                </c:pt>
                <c:pt idx="33">
                  <c:v>-16.279313554222721</c:v>
                </c:pt>
                <c:pt idx="34">
                  <c:v>-16.020859332460081</c:v>
                </c:pt>
                <c:pt idx="35">
                  <c:v>-15.772194213787991</c:v>
                </c:pt>
                <c:pt idx="36">
                  <c:v>-15.532936335038682</c:v>
                </c:pt>
                <c:pt idx="37">
                  <c:v>-15.30273046562567</c:v>
                </c:pt>
                <c:pt idx="38">
                  <c:v>-15.081245513022061</c:v>
                </c:pt>
                <c:pt idx="39">
                  <c:v>-14.868172327511806</c:v>
                </c:pt>
                <c:pt idx="40">
                  <c:v>-14.663221763214635</c:v>
                </c:pt>
                <c:pt idx="41">
                  <c:v>-14.466122959534863</c:v>
                </c:pt>
                <c:pt idx="42">
                  <c:v>-14.276621812995907</c:v>
                </c:pt>
                <c:pt idx="43">
                  <c:v>-14.09447961416693</c:v>
                </c:pt>
                <c:pt idx="44">
                  <c:v>-13.919471828290197</c:v>
                </c:pt>
                <c:pt idx="45">
                  <c:v>-13.751387001436719</c:v>
                </c:pt>
                <c:pt idx="46">
                  <c:v>-13.590025776690949</c:v>
                </c:pt>
                <c:pt idx="47">
                  <c:v>-13.435200007093471</c:v>
                </c:pt>
                <c:pt idx="48">
                  <c:v>-13.286731953934517</c:v>
                </c:pt>
                <c:pt idx="49">
                  <c:v>-13.14445356056183</c:v>
                </c:pt>
                <c:pt idx="50">
                  <c:v>-13.008205793188845</c:v>
                </c:pt>
                <c:pt idx="51">
                  <c:v>-12.877838041312836</c:v>
                </c:pt>
                <c:pt idx="52">
                  <c:v>-12.753207571306071</c:v>
                </c:pt>
                <c:pt idx="53">
                  <c:v>-12.634179027558885</c:v>
                </c:pt>
                <c:pt idx="54">
                  <c:v>-12.5206239762511</c:v>
                </c:pt>
                <c:pt idx="55">
                  <c:v>-12.412420487427708</c:v>
                </c:pt>
                <c:pt idx="56">
                  <c:v>-12.309452751571845</c:v>
                </c:pt>
                <c:pt idx="57">
                  <c:v>-12.211610727315461</c:v>
                </c:pt>
                <c:pt idx="58">
                  <c:v>-12.1187898173141</c:v>
                </c:pt>
                <c:pt idx="59">
                  <c:v>-12.030890569651005</c:v>
                </c:pt>
                <c:pt idx="60">
                  <c:v>-11.947818402427702</c:v>
                </c:pt>
                <c:pt idx="61">
                  <c:v>-11.869483349456134</c:v>
                </c:pt>
                <c:pt idx="62">
                  <c:v>-11.795799825191676</c:v>
                </c:pt>
                <c:pt idx="63">
                  <c:v>-11.726686407244388</c:v>
                </c:pt>
                <c:pt idx="64">
                  <c:v>-11.662065634979522</c:v>
                </c:pt>
                <c:pt idx="65">
                  <c:v>-11.601863822872106</c:v>
                </c:pt>
                <c:pt idx="66">
                  <c:v>-11.546010887416504</c:v>
                </c:pt>
                <c:pt idx="67">
                  <c:v>-11.494440186511515</c:v>
                </c:pt>
                <c:pt idx="68">
                  <c:v>-11.447088370349869</c:v>
                </c:pt>
                <c:pt idx="69">
                  <c:v>-11.403895242935077</c:v>
                </c:pt>
                <c:pt idx="70">
                  <c:v>-11.364803633434718</c:v>
                </c:pt>
                <c:pt idx="71">
                  <c:v>-11.32975927665426</c:v>
                </c:pt>
                <c:pt idx="72">
                  <c:v>-11.298710701985348</c:v>
                </c:pt>
                <c:pt idx="73">
                  <c:v>-11.271609130241819</c:v>
                </c:pt>
                <c:pt idx="74">
                  <c:v>-11.248408377853487</c:v>
                </c:pt>
                <c:pt idx="75">
                  <c:v>-11.229064767937055</c:v>
                </c:pt>
                <c:pt idx="76">
                  <c:v>-11.213537047808158</c:v>
                </c:pt>
                <c:pt idx="77">
                  <c:v>-11.201786312540111</c:v>
                </c:pt>
                <c:pt idx="78">
                  <c:v>-11.193775934211661</c:v>
                </c:pt>
                <c:pt idx="79">
                  <c:v>-11.189471496520055</c:v>
                </c:pt>
                <c:pt idx="80">
                  <c:v>-11.188840734466966</c:v>
                </c:pt>
                <c:pt idx="81">
                  <c:v>-11.191853478852623</c:v>
                </c:pt>
                <c:pt idx="82">
                  <c:v>-11.198481605340485</c:v>
                </c:pt>
                <c:pt idx="83">
                  <c:v>-11.208698987878535</c:v>
                </c:pt>
                <c:pt idx="84">
                  <c:v>-11.222481456285164</c:v>
                </c:pt>
                <c:pt idx="85">
                  <c:v>-11.239806757830035</c:v>
                </c:pt>
                <c:pt idx="86">
                  <c:v>-11.260654522657882</c:v>
                </c:pt>
                <c:pt idx="87">
                  <c:v>-11.285006232922957</c:v>
                </c:pt>
                <c:pt idx="88">
                  <c:v>-11.312845195519115</c:v>
                </c:pt>
                <c:pt idx="89">
                  <c:v>-11.344156518305738</c:v>
                </c:pt>
                <c:pt idx="90">
                  <c:v>-11.378927089747478</c:v>
                </c:pt>
                <c:pt idx="91">
                  <c:v>-11.417145561899078</c:v>
                </c:pt>
                <c:pt idx="92">
                  <c:v>-11.4588023366827</c:v>
                </c:pt>
                <c:pt idx="93">
                  <c:v>-11.503889555418539</c:v>
                </c:pt>
                <c:pt idx="94">
                  <c:v>-11.552401091584361</c:v>
                </c:pt>
                <c:pt idx="95">
                  <c:v>-11.604332546793641</c:v>
                </c:pt>
                <c:pt idx="96">
                  <c:v>-11.659681249995032</c:v>
                </c:pt>
                <c:pt idx="97">
                  <c:v>-11.718446259911655</c:v>
                </c:pt>
                <c:pt idx="98">
                  <c:v>-11.78062837075149</c:v>
                </c:pt>
                <c:pt idx="99">
                  <c:v>-11.84623012123626</c:v>
                </c:pt>
                <c:pt idx="100">
                  <c:v>-11.915255807010103</c:v>
                </c:pt>
                <c:pt idx="101">
                  <c:v>-11.987711496505831</c:v>
                </c:pt>
                <c:pt idx="102">
                  <c:v>-12.063605050363211</c:v>
                </c:pt>
                <c:pt idx="103">
                  <c:v>-12.142946144510452</c:v>
                </c:pt>
                <c:pt idx="104">
                  <c:v>-12.225746297038784</c:v>
                </c:pt>
                <c:pt idx="105">
                  <c:v>-12.31201889901995</c:v>
                </c:pt>
                <c:pt idx="106">
                  <c:v>-12.401779249436672</c:v>
                </c:pt>
                <c:pt idx="107">
                  <c:v>-12.49504459441966</c:v>
                </c:pt>
                <c:pt idx="108">
                  <c:v>-12.59183417100847</c:v>
                </c:pt>
                <c:pt idx="109">
                  <c:v>-12.692169255680504</c:v>
                </c:pt>
                <c:pt idx="110">
                  <c:v>-12.7960732179213</c:v>
                </c:pt>
                <c:pt idx="111">
                  <c:v>-12.903571579140914</c:v>
                </c:pt>
                <c:pt idx="112">
                  <c:v>-13.014692077276457</c:v>
                </c:pt>
                <c:pt idx="113">
                  <c:v>-13.12946473745836</c:v>
                </c:pt>
                <c:pt idx="114">
                  <c:v>-13.247921949161382</c:v>
                </c:pt>
                <c:pt idx="115">
                  <c:v>-13.37009855030802</c:v>
                </c:pt>
                <c:pt idx="116">
                  <c:v>-13.496031918843538</c:v>
                </c:pt>
                <c:pt idx="117">
                  <c:v>-13.625762072361667</c:v>
                </c:pt>
                <c:pt idx="118">
                  <c:v>-13.759331776423151</c:v>
                </c:pt>
                <c:pt idx="119">
                  <c:v>-13.896786662283914</c:v>
                </c:pt>
                <c:pt idx="120">
                  <c:v>-14.038175354830189</c:v>
                </c:pt>
                <c:pt idx="121">
                  <c:v>-14.183549611610534</c:v>
                </c:pt>
                <c:pt idx="122">
                  <c:v>-14.332964473958398</c:v>
                </c:pt>
                <c:pt idx="123">
                  <c:v>-14.486478431316236</c:v>
                </c:pt>
                <c:pt idx="124">
                  <c:v>-14.644153600005065</c:v>
                </c:pt>
                <c:pt idx="125">
                  <c:v>-14.806055917834948</c:v>
                </c:pt>
                <c:pt idx="126">
                  <c:v>-14.972255356123675</c:v>
                </c:pt>
                <c:pt idx="127">
                  <c:v>-15.142826150887451</c:v>
                </c:pt>
                <c:pt idx="128">
                  <c:v>-15.317847055193411</c:v>
                </c:pt>
                <c:pt idx="129">
                  <c:v>-15.497401614921095</c:v>
                </c:pt>
                <c:pt idx="130">
                  <c:v>-15.681578470478332</c:v>
                </c:pt>
                <c:pt idx="131">
                  <c:v>-15.870471687360267</c:v>
                </c:pt>
                <c:pt idx="132">
                  <c:v>-16.064181118838004</c:v>
                </c:pt>
                <c:pt idx="133">
                  <c:v>-16.262812804524962</c:v>
                </c:pt>
                <c:pt idx="134">
                  <c:v>-16.466479409107386</c:v>
                </c:pt>
                <c:pt idx="135">
                  <c:v>-16.675300706154214</c:v>
                </c:pt>
                <c:pt idx="136">
                  <c:v>-16.889404112658418</c:v>
                </c:pt>
                <c:pt idx="137">
                  <c:v>-17.108925280830846</c:v>
                </c:pt>
                <c:pt idx="138">
                  <c:v>-17.334008754691911</c:v>
                </c:pt>
                <c:pt idx="139">
                  <c:v>-17.564808700221764</c:v>
                </c:pt>
                <c:pt idx="140">
                  <c:v>-17.801489719278099</c:v>
                </c:pt>
                <c:pt idx="141">
                  <c:v>-18.044227759219286</c:v>
                </c:pt>
                <c:pt idx="142">
                  <c:v>-18.293211132249748</c:v>
                </c:pt>
                <c:pt idx="143">
                  <c:v>-18.548641661009817</c:v>
                </c:pt>
                <c:pt idx="144">
                  <c:v>-18.810735969972278</c:v>
                </c:pt>
                <c:pt idx="145">
                  <c:v>-19.079726945910252</c:v>
                </c:pt>
                <c:pt idx="146">
                  <c:v>-19.355865395238169</c:v>
                </c:pt>
                <c:pt idx="147">
                  <c:v>-19.639421931618777</c:v>
                </c:pt>
                <c:pt idx="148">
                  <c:v>-19.930689134158641</c:v>
                </c:pt>
                <c:pt idx="149">
                  <c:v>-20.229984025162516</c:v>
                </c:pt>
                <c:pt idx="150">
                  <c:v>-20.537650927278737</c:v>
                </c:pt>
                <c:pt idx="151">
                  <c:v>-20.854064773611483</c:v>
                </c:pt>
                <c:pt idx="152">
                  <c:v>-21.179634961900632</c:v>
                </c:pt>
                <c:pt idx="153">
                  <c:v>-21.514809866399272</c:v>
                </c:pt>
                <c:pt idx="154">
                  <c:v>-21.860082150302194</c:v>
                </c:pt>
                <c:pt idx="155">
                  <c:v>-22.215995059836992</c:v>
                </c:pt>
                <c:pt idx="156">
                  <c:v>-22.583149931740586</c:v>
                </c:pt>
                <c:pt idx="157">
                  <c:v>-22.962215213521489</c:v>
                </c:pt>
                <c:pt idx="158">
                  <c:v>-23.353937387500022</c:v>
                </c:pt>
                <c:pt idx="159">
                  <c:v>-23.759154315177955</c:v>
                </c:pt>
                <c:pt idx="160">
                  <c:v>-24.178811693051404</c:v>
                </c:pt>
                <c:pt idx="161">
                  <c:v>-24.613983557436832</c:v>
                </c:pt>
                <c:pt idx="162">
                  <c:v>-25.065898129766154</c:v>
                </c:pt>
                <c:pt idx="163">
                  <c:v>-25.535970811538789</c:v>
                </c:pt>
                <c:pt idx="164">
                  <c:v>-26.0258469114214</c:v>
                </c:pt>
                <c:pt idx="165">
                  <c:v>-26.537457869096691</c:v>
                </c:pt>
                <c:pt idx="166">
                  <c:v>-27.073096595212615</c:v>
                </c:pt>
                <c:pt idx="167">
                  <c:v>-27.635520544205495</c:v>
                </c:pt>
                <c:pt idx="168">
                  <c:v>-28.228096147399388</c:v>
                </c:pt>
                <c:pt idx="169">
                  <c:v>-28.855006943661639</c:v>
                </c:pt>
                <c:pt idx="170">
                  <c:v>-29.521563593896545</c:v>
                </c:pt>
                <c:pt idx="171">
                  <c:v>-30.234684416649738</c:v>
                </c:pt>
                <c:pt idx="172">
                  <c:v>-31.003677566931177</c:v>
                </c:pt>
                <c:pt idx="173">
                  <c:v>-31.841595086369299</c:v>
                </c:pt>
                <c:pt idx="174">
                  <c:v>-32.767772720722753</c:v>
                </c:pt>
                <c:pt idx="175">
                  <c:v>-33.813144915371602</c:v>
                </c:pt>
                <c:pt idx="176">
                  <c:v>-35.033298329869545</c:v>
                </c:pt>
                <c:pt idx="177">
                  <c:v>-36.550219127102629</c:v>
                </c:pt>
                <c:pt idx="178">
                  <c:v>-38.791490652719403</c:v>
                </c:pt>
                <c:pt idx="179">
                  <c:v>-40.972682365584141</c:v>
                </c:pt>
                <c:pt idx="180">
                  <c:v>-40.972682365584141</c:v>
                </c:pt>
                <c:pt idx="181">
                  <c:v>-40.972682365584141</c:v>
                </c:pt>
                <c:pt idx="182">
                  <c:v>-40.972682365584141</c:v>
                </c:pt>
                <c:pt idx="183">
                  <c:v>-40.972682365584141</c:v>
                </c:pt>
                <c:pt idx="184">
                  <c:v>-40.972682365584141</c:v>
                </c:pt>
                <c:pt idx="185">
                  <c:v>-40.972682365584141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7899-5649-96E2-64AEA5682F16}"/>
            </c:ext>
          </c:extLst>
        </c:ser>
        <c:ser>
          <c:idx val="3"/>
          <c:order val="3"/>
          <c:spPr>
            <a:ln w="25400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Grafik'!$V$8:$V$193</c:f>
              <c:numCache>
                <c:formatCode>0.00</c:formatCode>
                <c:ptCount val="186"/>
                <c:pt idx="0">
                  <c:v>-42.69851124109983</c:v>
                </c:pt>
                <c:pt idx="1">
                  <c:v>-42.69851124109983</c:v>
                </c:pt>
                <c:pt idx="2">
                  <c:v>-45.622137224980762</c:v>
                </c:pt>
                <c:pt idx="3">
                  <c:v>-48.337018346937207</c:v>
                </c:pt>
                <c:pt idx="4">
                  <c:v>-50.18630481911336</c:v>
                </c:pt>
                <c:pt idx="5">
                  <c:v>-51.666663814202067</c:v>
                </c:pt>
                <c:pt idx="6">
                  <c:v>-52.926040132909293</c:v>
                </c:pt>
                <c:pt idx="7">
                  <c:v>-54.032997120581854</c:v>
                </c:pt>
                <c:pt idx="8">
                  <c:v>-55.02610369074187</c:v>
                </c:pt>
                <c:pt idx="9">
                  <c:v>-55.929666182042304</c:v>
                </c:pt>
                <c:pt idx="10">
                  <c:v>-56.760205045202476</c:v>
                </c:pt>
                <c:pt idx="11">
                  <c:v>-57.529573845342533</c:v>
                </c:pt>
                <c:pt idx="12">
                  <c:v>-58.246632015943362</c:v>
                </c:pt>
                <c:pt idx="13">
                  <c:v>-58.918215842782416</c:v>
                </c:pt>
                <c:pt idx="14">
                  <c:v>-59.549737465228809</c:v>
                </c:pt>
                <c:pt idx="15">
                  <c:v>-60.145572726653157</c:v>
                </c:pt>
                <c:pt idx="16">
                  <c:v>-60.709322416578075</c:v>
                </c:pt>
                <c:pt idx="17">
                  <c:v>-61.243994108586769</c:v>
                </c:pt>
                <c:pt idx="18">
                  <c:v>-61.752132292945277</c:v>
                </c:pt>
                <c:pt idx="19">
                  <c:v>-62.235913749665457</c:v>
                </c:pt>
                <c:pt idx="20">
                  <c:v>-62.697218904159072</c:v>
                </c:pt>
                <c:pt idx="21">
                  <c:v>-63.137686187175774</c:v>
                </c:pt>
                <c:pt idx="22">
                  <c:v>-63.558754113248355</c:v>
                </c:pt>
                <c:pt idx="23">
                  <c:v>-63.961694318106694</c:v>
                </c:pt>
                <c:pt idx="24">
                  <c:v>-64.347637829524984</c:v>
                </c:pt>
                <c:pt idx="25">
                  <c:v>-64.717596198134416</c:v>
                </c:pt>
                <c:pt idx="26">
                  <c:v>-65.072478671076624</c:v>
                </c:pt>
                <c:pt idx="27">
                  <c:v>-65.413106281893221</c:v>
                </c:pt>
                <c:pt idx="28">
                  <c:v>-65.740223510495198</c:v>
                </c:pt>
                <c:pt idx="29">
                  <c:v>-66.054508008901578</c:v>
                </c:pt>
                <c:pt idx="30">
                  <c:v>-66.356578772898928</c:v>
                </c:pt>
                <c:pt idx="31">
                  <c:v>-66.647003054280304</c:v>
                </c:pt>
                <c:pt idx="32">
                  <c:v>-66.926302244304111</c:v>
                </c:pt>
                <c:pt idx="33">
                  <c:v>-67.194956910553884</c:v>
                </c:pt>
                <c:pt idx="34">
                  <c:v>-67.453411132316518</c:v>
                </c:pt>
                <c:pt idx="35">
                  <c:v>-67.702076250988611</c:v>
                </c:pt>
                <c:pt idx="36">
                  <c:v>-67.941334129737925</c:v>
                </c:pt>
                <c:pt idx="37">
                  <c:v>-68.171539999150937</c:v>
                </c:pt>
                <c:pt idx="38">
                  <c:v>-68.393024951754541</c:v>
                </c:pt>
                <c:pt idx="39">
                  <c:v>-68.606098137264794</c:v>
                </c:pt>
                <c:pt idx="40">
                  <c:v>-68.811048701561973</c:v>
                </c:pt>
                <c:pt idx="41">
                  <c:v>-69.008147505241737</c:v>
                </c:pt>
                <c:pt idx="42">
                  <c:v>-69.197648651780696</c:v>
                </c:pt>
                <c:pt idx="43">
                  <c:v>-69.37979085060968</c:v>
                </c:pt>
                <c:pt idx="44">
                  <c:v>-69.55479863648641</c:v>
                </c:pt>
                <c:pt idx="45">
                  <c:v>-69.722883463339883</c:v>
                </c:pt>
                <c:pt idx="46">
                  <c:v>-69.884244688085658</c:v>
                </c:pt>
                <c:pt idx="47">
                  <c:v>-70.039070457683138</c:v>
                </c:pt>
                <c:pt idx="48">
                  <c:v>-70.187538510842089</c:v>
                </c:pt>
                <c:pt idx="49">
                  <c:v>-70.32981690421478</c:v>
                </c:pt>
                <c:pt idx="50">
                  <c:v>-70.466064671587759</c:v>
                </c:pt>
                <c:pt idx="51">
                  <c:v>-70.596432423463767</c:v>
                </c:pt>
                <c:pt idx="52">
                  <c:v>-70.721062893470531</c:v>
                </c:pt>
                <c:pt idx="53">
                  <c:v>-70.840091437217723</c:v>
                </c:pt>
                <c:pt idx="54">
                  <c:v>-70.953646488525507</c:v>
                </c:pt>
                <c:pt idx="55">
                  <c:v>-71.061849977348899</c:v>
                </c:pt>
                <c:pt idx="56">
                  <c:v>-71.164817713204755</c:v>
                </c:pt>
                <c:pt idx="57">
                  <c:v>-71.262659737461149</c:v>
                </c:pt>
                <c:pt idx="58">
                  <c:v>-71.3554806474625</c:v>
                </c:pt>
                <c:pt idx="59">
                  <c:v>-71.443379895125602</c:v>
                </c:pt>
                <c:pt idx="60">
                  <c:v>-71.526452062348909</c:v>
                </c:pt>
                <c:pt idx="61">
                  <c:v>-71.604787115320477</c:v>
                </c:pt>
                <c:pt idx="62">
                  <c:v>-71.67847063958493</c:v>
                </c:pt>
                <c:pt idx="63">
                  <c:v>-71.747584057532222</c:v>
                </c:pt>
                <c:pt idx="64">
                  <c:v>-71.812204829797082</c:v>
                </c:pt>
                <c:pt idx="65">
                  <c:v>-71.872406641904504</c:v>
                </c:pt>
                <c:pt idx="66">
                  <c:v>-71.928259577360109</c:v>
                </c:pt>
                <c:pt idx="67">
                  <c:v>-71.979830278265098</c:v>
                </c:pt>
                <c:pt idx="68">
                  <c:v>-72.027182094426735</c:v>
                </c:pt>
                <c:pt idx="69">
                  <c:v>-72.07037522184153</c:v>
                </c:pt>
                <c:pt idx="70">
                  <c:v>-72.109466831341891</c:v>
                </c:pt>
                <c:pt idx="71">
                  <c:v>-72.144511188122351</c:v>
                </c:pt>
                <c:pt idx="72">
                  <c:v>-72.175559762791252</c:v>
                </c:pt>
                <c:pt idx="73">
                  <c:v>-72.202661334534781</c:v>
                </c:pt>
                <c:pt idx="74">
                  <c:v>-72.225862086923115</c:v>
                </c:pt>
                <c:pt idx="75">
                  <c:v>-72.245205696839548</c:v>
                </c:pt>
                <c:pt idx="76">
                  <c:v>-72.260733416968449</c:v>
                </c:pt>
                <c:pt idx="77">
                  <c:v>-72.272484152236501</c:v>
                </c:pt>
                <c:pt idx="78">
                  <c:v>-72.280494530564937</c:v>
                </c:pt>
                <c:pt idx="79">
                  <c:v>-72.284798968256553</c:v>
                </c:pt>
                <c:pt idx="80">
                  <c:v>-72.285429730309644</c:v>
                </c:pt>
                <c:pt idx="81">
                  <c:v>-72.282416985923987</c:v>
                </c:pt>
                <c:pt idx="82">
                  <c:v>-72.275788859436119</c:v>
                </c:pt>
                <c:pt idx="83">
                  <c:v>-72.265571476898074</c:v>
                </c:pt>
                <c:pt idx="84">
                  <c:v>-72.251789008491443</c:v>
                </c:pt>
                <c:pt idx="85">
                  <c:v>-72.23446370694657</c:v>
                </c:pt>
                <c:pt idx="86">
                  <c:v>-72.213615942118722</c:v>
                </c:pt>
                <c:pt idx="87">
                  <c:v>-72.189264231853656</c:v>
                </c:pt>
                <c:pt idx="88">
                  <c:v>-72.161425269257492</c:v>
                </c:pt>
                <c:pt idx="89">
                  <c:v>-72.130113946470871</c:v>
                </c:pt>
                <c:pt idx="90">
                  <c:v>-72.095343375029131</c:v>
                </c:pt>
                <c:pt idx="91">
                  <c:v>-72.057124902877533</c:v>
                </c:pt>
                <c:pt idx="92">
                  <c:v>-72.0154681280939</c:v>
                </c:pt>
                <c:pt idx="93">
                  <c:v>-71.97038090935807</c:v>
                </c:pt>
                <c:pt idx="94">
                  <c:v>-71.921869373192237</c:v>
                </c:pt>
                <c:pt idx="95">
                  <c:v>-71.869937917982966</c:v>
                </c:pt>
                <c:pt idx="96">
                  <c:v>-71.814589214781577</c:v>
                </c:pt>
                <c:pt idx="97">
                  <c:v>-71.75582420486495</c:v>
                </c:pt>
                <c:pt idx="98">
                  <c:v>-71.693642094025108</c:v>
                </c:pt>
                <c:pt idx="99">
                  <c:v>-71.628040343540349</c:v>
                </c:pt>
                <c:pt idx="100">
                  <c:v>-71.559014657766497</c:v>
                </c:pt>
                <c:pt idx="101">
                  <c:v>-71.486558968270771</c:v>
                </c:pt>
                <c:pt idx="102">
                  <c:v>-71.410665414413401</c:v>
                </c:pt>
                <c:pt idx="103">
                  <c:v>-71.331324320266148</c:v>
                </c:pt>
                <c:pt idx="104">
                  <c:v>-71.248524167737827</c:v>
                </c:pt>
                <c:pt idx="105">
                  <c:v>-71.162251565756662</c:v>
                </c:pt>
                <c:pt idx="106">
                  <c:v>-71.072491215339937</c:v>
                </c:pt>
                <c:pt idx="107">
                  <c:v>-70.979225870356942</c:v>
                </c:pt>
                <c:pt idx="108">
                  <c:v>-70.882436293768137</c:v>
                </c:pt>
                <c:pt idx="109">
                  <c:v>-70.782101209096098</c:v>
                </c:pt>
                <c:pt idx="110">
                  <c:v>-70.678197246855305</c:v>
                </c:pt>
                <c:pt idx="111">
                  <c:v>-70.570698885635693</c:v>
                </c:pt>
                <c:pt idx="112">
                  <c:v>-70.459578387500144</c:v>
                </c:pt>
                <c:pt idx="113">
                  <c:v>-70.344805727318246</c:v>
                </c:pt>
                <c:pt idx="114">
                  <c:v>-70.226348515615229</c:v>
                </c:pt>
                <c:pt idx="115">
                  <c:v>-70.10417191446858</c:v>
                </c:pt>
                <c:pt idx="116">
                  <c:v>-69.978238545933067</c:v>
                </c:pt>
                <c:pt idx="117">
                  <c:v>-69.848508392414942</c:v>
                </c:pt>
                <c:pt idx="118">
                  <c:v>-69.714938688353456</c:v>
                </c:pt>
                <c:pt idx="119">
                  <c:v>-69.577483802492694</c:v>
                </c:pt>
                <c:pt idx="120">
                  <c:v>-69.436095109946422</c:v>
                </c:pt>
                <c:pt idx="121">
                  <c:v>-69.290720853166064</c:v>
                </c:pt>
                <c:pt idx="122">
                  <c:v>-69.141305990818211</c:v>
                </c:pt>
                <c:pt idx="123">
                  <c:v>-68.987792033460366</c:v>
                </c:pt>
                <c:pt idx="124">
                  <c:v>-68.83011686477154</c:v>
                </c:pt>
                <c:pt idx="125">
                  <c:v>-68.668214546941655</c:v>
                </c:pt>
                <c:pt idx="126">
                  <c:v>-68.502015108652927</c:v>
                </c:pt>
                <c:pt idx="127">
                  <c:v>-68.331444313889151</c:v>
                </c:pt>
                <c:pt idx="128">
                  <c:v>-68.156423409583198</c:v>
                </c:pt>
                <c:pt idx="129">
                  <c:v>-67.976868849855506</c:v>
                </c:pt>
                <c:pt idx="130">
                  <c:v>-67.792691994298266</c:v>
                </c:pt>
                <c:pt idx="131">
                  <c:v>-67.603798777416344</c:v>
                </c:pt>
                <c:pt idx="132">
                  <c:v>-67.410089345938601</c:v>
                </c:pt>
                <c:pt idx="133">
                  <c:v>-67.211457660251639</c:v>
                </c:pt>
                <c:pt idx="134">
                  <c:v>-67.007791055669216</c:v>
                </c:pt>
                <c:pt idx="135">
                  <c:v>-66.798969758622391</c:v>
                </c:pt>
                <c:pt idx="136">
                  <c:v>-66.584866352118183</c:v>
                </c:pt>
                <c:pt idx="137">
                  <c:v>-66.365345183945763</c:v>
                </c:pt>
                <c:pt idx="138">
                  <c:v>-66.140261710084687</c:v>
                </c:pt>
                <c:pt idx="139">
                  <c:v>-65.909461764554848</c:v>
                </c:pt>
                <c:pt idx="140">
                  <c:v>-65.6727807454985</c:v>
                </c:pt>
                <c:pt idx="141">
                  <c:v>-65.430042705557312</c:v>
                </c:pt>
                <c:pt idx="142">
                  <c:v>-65.181059332526857</c:v>
                </c:pt>
                <c:pt idx="143">
                  <c:v>-64.925628803766784</c:v>
                </c:pt>
                <c:pt idx="144">
                  <c:v>-64.663534494804324</c:v>
                </c:pt>
                <c:pt idx="145">
                  <c:v>-64.394543518866357</c:v>
                </c:pt>
                <c:pt idx="146">
                  <c:v>-64.11840506953844</c:v>
                </c:pt>
                <c:pt idx="147">
                  <c:v>-63.834848533157825</c:v>
                </c:pt>
                <c:pt idx="148">
                  <c:v>-63.543581330617961</c:v>
                </c:pt>
                <c:pt idx="149">
                  <c:v>-63.244286439614093</c:v>
                </c:pt>
                <c:pt idx="150">
                  <c:v>-62.936619537497869</c:v>
                </c:pt>
                <c:pt idx="151">
                  <c:v>-62.620205691165125</c:v>
                </c:pt>
                <c:pt idx="152">
                  <c:v>-62.294635502875977</c:v>
                </c:pt>
                <c:pt idx="153">
                  <c:v>-61.959460598377333</c:v>
                </c:pt>
                <c:pt idx="154">
                  <c:v>-61.614188314474411</c:v>
                </c:pt>
                <c:pt idx="155">
                  <c:v>-61.258275404939617</c:v>
                </c:pt>
                <c:pt idx="156">
                  <c:v>-60.891120533036023</c:v>
                </c:pt>
                <c:pt idx="157">
                  <c:v>-60.512055251255113</c:v>
                </c:pt>
                <c:pt idx="158">
                  <c:v>-60.120333077276584</c:v>
                </c:pt>
                <c:pt idx="159">
                  <c:v>-59.71511614959865</c:v>
                </c:pt>
                <c:pt idx="160">
                  <c:v>-59.295458771725201</c:v>
                </c:pt>
                <c:pt idx="161">
                  <c:v>-58.860286907339777</c:v>
                </c:pt>
                <c:pt idx="162">
                  <c:v>-58.408372335010448</c:v>
                </c:pt>
                <c:pt idx="163">
                  <c:v>-57.93829965323782</c:v>
                </c:pt>
                <c:pt idx="164">
                  <c:v>-57.448423553355205</c:v>
                </c:pt>
                <c:pt idx="165">
                  <c:v>-56.93681259567991</c:v>
                </c:pt>
                <c:pt idx="166">
                  <c:v>-56.401173869563991</c:v>
                </c:pt>
                <c:pt idx="167">
                  <c:v>-55.838749920571111</c:v>
                </c:pt>
                <c:pt idx="168">
                  <c:v>-55.246174317377218</c:v>
                </c:pt>
                <c:pt idx="169">
                  <c:v>-54.619263521114966</c:v>
                </c:pt>
                <c:pt idx="170">
                  <c:v>-53.952706870880057</c:v>
                </c:pt>
                <c:pt idx="171">
                  <c:v>-53.239586048126867</c:v>
                </c:pt>
                <c:pt idx="172">
                  <c:v>-52.470592897845428</c:v>
                </c:pt>
                <c:pt idx="173">
                  <c:v>-51.632675378407306</c:v>
                </c:pt>
                <c:pt idx="174">
                  <c:v>-50.706497744053856</c:v>
                </c:pt>
                <c:pt idx="175">
                  <c:v>-49.661125549405007</c:v>
                </c:pt>
                <c:pt idx="176">
                  <c:v>-48.440972134907057</c:v>
                </c:pt>
                <c:pt idx="177">
                  <c:v>-46.92405133767398</c:v>
                </c:pt>
                <c:pt idx="178">
                  <c:v>-44.682779812057198</c:v>
                </c:pt>
                <c:pt idx="179">
                  <c:v>-42.501588099192467</c:v>
                </c:pt>
                <c:pt idx="180">
                  <c:v>-42.501588099192467</c:v>
                </c:pt>
                <c:pt idx="181">
                  <c:v>-42.501588099192467</c:v>
                </c:pt>
                <c:pt idx="182">
                  <c:v>-42.501588099192467</c:v>
                </c:pt>
                <c:pt idx="183">
                  <c:v>-42.501588099192467</c:v>
                </c:pt>
                <c:pt idx="184">
                  <c:v>-42.501588099192467</c:v>
                </c:pt>
                <c:pt idx="185">
                  <c:v>-42.501588099192467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899-5649-96E2-64AEA5682F16}"/>
            </c:ext>
          </c:extLst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10"/>
              <c:spPr>
                <a:noFill/>
                <a:ln w="19050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4445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7899-5649-96E2-64AEA5682F16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2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899-5649-96E2-64AEA5682F1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'globale Grafik'!$X$8:$X$194</c:f>
              <c:numCache>
                <c:formatCode>0.00</c:formatCode>
                <c:ptCount val="187"/>
                <c:pt idx="186">
                  <c:v>-12.649637282226893</c:v>
                </c:pt>
              </c:numCache>
            </c:numRef>
          </c:xVal>
          <c:yVal>
            <c:numRef>
              <c:f>'globale Grafik'!$M$8:$M$194</c:f>
              <c:numCache>
                <c:formatCode>0.00\°;[Red]0.00\°</c:formatCode>
                <c:ptCount val="187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  <c:pt idx="186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899-5649-96E2-64AEA5682F16}"/>
            </c:ext>
          </c:extLst>
        </c:ser>
        <c:ser>
          <c:idx val="5"/>
          <c:order val="5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7899-5649-96E2-64AEA5682F16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spPr>
              <a:ln w="1905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8-7899-5649-96E2-64AEA5682F16}"/>
              </c:ext>
            </c:extLst>
          </c:dPt>
          <c:xVal>
            <c:numRef>
              <c:f>'globale Grafik'!$Y$8:$Y$196</c:f>
              <c:numCache>
                <c:formatCode>0.00</c:formatCode>
                <c:ptCount val="189"/>
                <c:pt idx="187" formatCode="0.00_ ;[Red]\-0.00\ ">
                  <c:v>8.6182808440917142</c:v>
                </c:pt>
                <c:pt idx="188" formatCode="0.00_ ;[Red]\-0.00\ ">
                  <c:v>-41.737135232388304</c:v>
                </c:pt>
              </c:numCache>
            </c:numRef>
          </c:xVal>
          <c:yVal>
            <c:numRef>
              <c:f>'globale Grafik'!$M$8:$M$196</c:f>
              <c:numCache>
                <c:formatCode>0.00\°;[Red]0.00\°</c:formatCode>
                <c:ptCount val="189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  <c:pt idx="186">
                  <c:v>34.765106842149578</c:v>
                </c:pt>
                <c:pt idx="187" formatCode="0.00_ ;[Red]\-0.00\ ">
                  <c:v>23.065217009064256</c:v>
                </c:pt>
                <c:pt idx="188" formatCode="0.00_ ;[Red]\-0.00\ ">
                  <c:v>23.075110281141541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7899-5649-96E2-64AEA5682F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45"/>
        <c:minorUnit val="15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FF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Standortgrafik!$O$17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Standortgrafik!$O$18:$O$60</c:f>
              <c:numCache>
                <c:formatCode>0.00</c:formatCode>
                <c:ptCount val="43"/>
                <c:pt idx="0">
                  <c:v>-12.05092835646451</c:v>
                </c:pt>
                <c:pt idx="1">
                  <c:v>-12.067728203300533</c:v>
                </c:pt>
                <c:pt idx="2">
                  <c:v>-12.084466480267906</c:v>
                </c:pt>
                <c:pt idx="3">
                  <c:v>-12.101143382768441</c:v>
                </c:pt>
                <c:pt idx="4">
                  <c:v>-12.117759104943048</c:v>
                </c:pt>
                <c:pt idx="5">
                  <c:v>-12.134313839682989</c:v>
                </c:pt>
                <c:pt idx="6">
                  <c:v>-12.150807778640342</c:v>
                </c:pt>
                <c:pt idx="7">
                  <c:v>-12.167241112239196</c:v>
                </c:pt>
                <c:pt idx="8">
                  <c:v>-12.1836140296856</c:v>
                </c:pt>
                <c:pt idx="9">
                  <c:v>-12.199926718978872</c:v>
                </c:pt>
                <c:pt idx="10">
                  <c:v>-12.216179366921097</c:v>
                </c:pt>
                <c:pt idx="11">
                  <c:v>-12.232372159127976</c:v>
                </c:pt>
                <c:pt idx="12">
                  <c:v>-12.248505280038671</c:v>
                </c:pt>
                <c:pt idx="13">
                  <c:v>-12.264578912925856</c:v>
                </c:pt>
                <c:pt idx="14">
                  <c:v>-12.2805932399055</c:v>
                </c:pt>
                <c:pt idx="15">
                  <c:v>-12.296548441947039</c:v>
                </c:pt>
                <c:pt idx="16">
                  <c:v>-12.312444698882473</c:v>
                </c:pt>
                <c:pt idx="17">
                  <c:v>-12.328282189416313</c:v>
                </c:pt>
                <c:pt idx="18">
                  <c:v>-12.344061091135075</c:v>
                </c:pt>
                <c:pt idx="19">
                  <c:v>-12.359781580516255</c:v>
                </c:pt>
                <c:pt idx="20">
                  <c:v>-12.37544383293806</c:v>
                </c:pt>
                <c:pt idx="21">
                  <c:v>-12.391048022688096</c:v>
                </c:pt>
                <c:pt idx="22">
                  <c:v>-12.406594322972751</c:v>
                </c:pt>
                <c:pt idx="23">
                  <c:v>-12.42208290592589</c:v>
                </c:pt>
                <c:pt idx="24">
                  <c:v>-12.437513942617841</c:v>
                </c:pt>
                <c:pt idx="25">
                  <c:v>-12.452887603064255</c:v>
                </c:pt>
                <c:pt idx="26">
                  <c:v>-12.468204056234299</c:v>
                </c:pt>
                <c:pt idx="27">
                  <c:v>-12.483463470059746</c:v>
                </c:pt>
                <c:pt idx="28">
                  <c:v>-12.498666011443277</c:v>
                </c:pt>
                <c:pt idx="29">
                  <c:v>-12.513811846266549</c:v>
                </c:pt>
                <c:pt idx="30">
                  <c:v>-12.52890113939884</c:v>
                </c:pt>
                <c:pt idx="31">
                  <c:v>-12.543934054705119</c:v>
                </c:pt>
                <c:pt idx="32">
                  <c:v>-12.558910755054001</c:v>
                </c:pt>
                <c:pt idx="33">
                  <c:v>-12.573831402326107</c:v>
                </c:pt>
                <c:pt idx="34">
                  <c:v>-12.588696157421566</c:v>
                </c:pt>
                <c:pt idx="35">
                  <c:v>-12.603505180268201</c:v>
                </c:pt>
                <c:pt idx="36">
                  <c:v>-12.618258629829199</c:v>
                </c:pt>
                <c:pt idx="37">
                  <c:v>-12.632956664110452</c:v>
                </c:pt>
                <c:pt idx="38">
                  <c:v>-12.64759944016879</c:v>
                </c:pt>
                <c:pt idx="39">
                  <c:v>-12.662187114118979</c:v>
                </c:pt>
                <c:pt idx="40">
                  <c:v>-12.676719841141221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35.340106842149552</c:v>
                </c:pt>
                <c:pt idx="1">
                  <c:v>35.315106842149554</c:v>
                </c:pt>
                <c:pt idx="2">
                  <c:v>35.290106842149555</c:v>
                </c:pt>
                <c:pt idx="3">
                  <c:v>35.265106842149557</c:v>
                </c:pt>
                <c:pt idx="4">
                  <c:v>35.240106842149558</c:v>
                </c:pt>
                <c:pt idx="5">
                  <c:v>35.215106842149559</c:v>
                </c:pt>
                <c:pt idx="6">
                  <c:v>35.190106842149561</c:v>
                </c:pt>
                <c:pt idx="7">
                  <c:v>35.165106842149562</c:v>
                </c:pt>
                <c:pt idx="8">
                  <c:v>35.140106842149564</c:v>
                </c:pt>
                <c:pt idx="9">
                  <c:v>35.115106842149565</c:v>
                </c:pt>
                <c:pt idx="10">
                  <c:v>35.090106842149567</c:v>
                </c:pt>
                <c:pt idx="11">
                  <c:v>35.065106842149568</c:v>
                </c:pt>
                <c:pt idx="12">
                  <c:v>35.040106842149569</c:v>
                </c:pt>
                <c:pt idx="13">
                  <c:v>35.015106842149571</c:v>
                </c:pt>
                <c:pt idx="14">
                  <c:v>34.990106842149572</c:v>
                </c:pt>
                <c:pt idx="15">
                  <c:v>34.965106842149574</c:v>
                </c:pt>
                <c:pt idx="16">
                  <c:v>34.940106842149575</c:v>
                </c:pt>
                <c:pt idx="17">
                  <c:v>34.915106842149576</c:v>
                </c:pt>
                <c:pt idx="18">
                  <c:v>34.890106842149578</c:v>
                </c:pt>
                <c:pt idx="19">
                  <c:v>34.865106842149579</c:v>
                </c:pt>
                <c:pt idx="20">
                  <c:v>34.840106842149581</c:v>
                </c:pt>
                <c:pt idx="21">
                  <c:v>34.815106842149582</c:v>
                </c:pt>
                <c:pt idx="22">
                  <c:v>34.790106842149584</c:v>
                </c:pt>
                <c:pt idx="23">
                  <c:v>34.765106842149585</c:v>
                </c:pt>
                <c:pt idx="24">
                  <c:v>34.740106842149586</c:v>
                </c:pt>
                <c:pt idx="25">
                  <c:v>34.715106842149588</c:v>
                </c:pt>
                <c:pt idx="26">
                  <c:v>34.690106842149589</c:v>
                </c:pt>
                <c:pt idx="27">
                  <c:v>34.665106842149591</c:v>
                </c:pt>
                <c:pt idx="28">
                  <c:v>34.640106842149592</c:v>
                </c:pt>
                <c:pt idx="29">
                  <c:v>34.615106842149594</c:v>
                </c:pt>
                <c:pt idx="30">
                  <c:v>34.590106842149595</c:v>
                </c:pt>
                <c:pt idx="31">
                  <c:v>34.565106842149596</c:v>
                </c:pt>
                <c:pt idx="32">
                  <c:v>34.540106842149598</c:v>
                </c:pt>
                <c:pt idx="33">
                  <c:v>34.515106842149599</c:v>
                </c:pt>
                <c:pt idx="34">
                  <c:v>34.490106842149601</c:v>
                </c:pt>
                <c:pt idx="35">
                  <c:v>34.465106842149602</c:v>
                </c:pt>
                <c:pt idx="36">
                  <c:v>34.440106842149603</c:v>
                </c:pt>
                <c:pt idx="37">
                  <c:v>34.415106842149605</c:v>
                </c:pt>
                <c:pt idx="38">
                  <c:v>34.390106842149606</c:v>
                </c:pt>
                <c:pt idx="39">
                  <c:v>34.365106842149608</c:v>
                </c:pt>
                <c:pt idx="40">
                  <c:v>34.340106842149609</c:v>
                </c:pt>
                <c:pt idx="41">
                  <c:v>34.915106842149576</c:v>
                </c:pt>
                <c:pt idx="42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07F-7144-BF96-854D69D3C829}"/>
            </c:ext>
          </c:extLst>
        </c:ser>
        <c:ser>
          <c:idx val="0"/>
          <c:order val="1"/>
          <c:tx>
            <c:strRef>
              <c:f>Standortgrafik!$P$17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Standortgrafik!$P$18:$P$60</c:f>
              <c:numCache>
                <c:formatCode>0.00</c:formatCode>
                <c:ptCount val="43"/>
                <c:pt idx="0">
                  <c:v>-12.872461937996158</c:v>
                </c:pt>
                <c:pt idx="1">
                  <c:v>-12.862382854932481</c:v>
                </c:pt>
                <c:pt idx="2">
                  <c:v>-12.852339794268154</c:v>
                </c:pt>
                <c:pt idx="3">
                  <c:v>-12.842332687161015</c:v>
                </c:pt>
                <c:pt idx="4">
                  <c:v>-12.832361465057501</c:v>
                </c:pt>
                <c:pt idx="5">
                  <c:v>-12.822426059691153</c:v>
                </c:pt>
                <c:pt idx="6">
                  <c:v>-12.812526403081165</c:v>
                </c:pt>
                <c:pt idx="7">
                  <c:v>-12.802662427530997</c:v>
                </c:pt>
                <c:pt idx="8">
                  <c:v>-12.792834065626856</c:v>
                </c:pt>
                <c:pt idx="9">
                  <c:v>-12.783041250236318</c:v>
                </c:pt>
                <c:pt idx="10">
                  <c:v>-12.773283914506921</c:v>
                </c:pt>
                <c:pt idx="11">
                  <c:v>-12.763561991864684</c:v>
                </c:pt>
                <c:pt idx="12">
                  <c:v>-12.753875416012875</c:v>
                </c:pt>
                <c:pt idx="13">
                  <c:v>-12.744224120930383</c:v>
                </c:pt>
                <c:pt idx="14">
                  <c:v>-12.734608040870597</c:v>
                </c:pt>
                <c:pt idx="15">
                  <c:v>-12.725027110359818</c:v>
                </c:pt>
                <c:pt idx="16">
                  <c:v>-12.7154812641961</c:v>
                </c:pt>
                <c:pt idx="17">
                  <c:v>-12.705970437447707</c:v>
                </c:pt>
                <c:pt idx="18">
                  <c:v>-12.696494565451889</c:v>
                </c:pt>
                <c:pt idx="19">
                  <c:v>-12.687053583813572</c:v>
                </c:pt>
                <c:pt idx="20">
                  <c:v>-12.677647428404008</c:v>
                </c:pt>
                <c:pt idx="21">
                  <c:v>-12.66827603535935</c:v>
                </c:pt>
                <c:pt idx="22">
                  <c:v>-12.658939341079545</c:v>
                </c:pt>
                <c:pt idx="23">
                  <c:v>-12.649637282226932</c:v>
                </c:pt>
                <c:pt idx="24">
                  <c:v>-12.640369795724908</c:v>
                </c:pt>
                <c:pt idx="25">
                  <c:v>-12.631136818756799</c:v>
                </c:pt>
                <c:pt idx="26">
                  <c:v>-12.621938288764463</c:v>
                </c:pt>
                <c:pt idx="27">
                  <c:v>-12.61277414344708</c:v>
                </c:pt>
                <c:pt idx="28">
                  <c:v>-12.603644320759932</c:v>
                </c:pt>
                <c:pt idx="29">
                  <c:v>-12.59454875891303</c:v>
                </c:pt>
                <c:pt idx="30">
                  <c:v>-12.585487396370098</c:v>
                </c:pt>
                <c:pt idx="31">
                  <c:v>-12.576460171847115</c:v>
                </c:pt>
                <c:pt idx="32">
                  <c:v>-12.56746702431135</c:v>
                </c:pt>
                <c:pt idx="33">
                  <c:v>-12.558507892979854</c:v>
                </c:pt>
                <c:pt idx="34">
                  <c:v>-12.549582717318522</c:v>
                </c:pt>
                <c:pt idx="35">
                  <c:v>-12.540691437040801</c:v>
                </c:pt>
                <c:pt idx="36">
                  <c:v>-12.531833992106458</c:v>
                </c:pt>
                <c:pt idx="37">
                  <c:v>-12.523010322720442</c:v>
                </c:pt>
                <c:pt idx="38">
                  <c:v>-12.514220369331778</c:v>
                </c:pt>
                <c:pt idx="39">
                  <c:v>-12.505464072632305</c:v>
                </c:pt>
                <c:pt idx="40">
                  <c:v>-12.496741373555613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35.340106842149552</c:v>
                </c:pt>
                <c:pt idx="1">
                  <c:v>35.315106842149554</c:v>
                </c:pt>
                <c:pt idx="2">
                  <c:v>35.290106842149555</c:v>
                </c:pt>
                <c:pt idx="3">
                  <c:v>35.265106842149557</c:v>
                </c:pt>
                <c:pt idx="4">
                  <c:v>35.240106842149558</c:v>
                </c:pt>
                <c:pt idx="5">
                  <c:v>35.215106842149559</c:v>
                </c:pt>
                <c:pt idx="6">
                  <c:v>35.190106842149561</c:v>
                </c:pt>
                <c:pt idx="7">
                  <c:v>35.165106842149562</c:v>
                </c:pt>
                <c:pt idx="8">
                  <c:v>35.140106842149564</c:v>
                </c:pt>
                <c:pt idx="9">
                  <c:v>35.115106842149565</c:v>
                </c:pt>
                <c:pt idx="10">
                  <c:v>35.090106842149567</c:v>
                </c:pt>
                <c:pt idx="11">
                  <c:v>35.065106842149568</c:v>
                </c:pt>
                <c:pt idx="12">
                  <c:v>35.040106842149569</c:v>
                </c:pt>
                <c:pt idx="13">
                  <c:v>35.015106842149571</c:v>
                </c:pt>
                <c:pt idx="14">
                  <c:v>34.990106842149572</c:v>
                </c:pt>
                <c:pt idx="15">
                  <c:v>34.965106842149574</c:v>
                </c:pt>
                <c:pt idx="16">
                  <c:v>34.940106842149575</c:v>
                </c:pt>
                <c:pt idx="17">
                  <c:v>34.915106842149576</c:v>
                </c:pt>
                <c:pt idx="18">
                  <c:v>34.890106842149578</c:v>
                </c:pt>
                <c:pt idx="19">
                  <c:v>34.865106842149579</c:v>
                </c:pt>
                <c:pt idx="20">
                  <c:v>34.840106842149581</c:v>
                </c:pt>
                <c:pt idx="21">
                  <c:v>34.815106842149582</c:v>
                </c:pt>
                <c:pt idx="22">
                  <c:v>34.790106842149584</c:v>
                </c:pt>
                <c:pt idx="23">
                  <c:v>34.765106842149585</c:v>
                </c:pt>
                <c:pt idx="24">
                  <c:v>34.740106842149586</c:v>
                </c:pt>
                <c:pt idx="25">
                  <c:v>34.715106842149588</c:v>
                </c:pt>
                <c:pt idx="26">
                  <c:v>34.690106842149589</c:v>
                </c:pt>
                <c:pt idx="27">
                  <c:v>34.665106842149591</c:v>
                </c:pt>
                <c:pt idx="28">
                  <c:v>34.640106842149592</c:v>
                </c:pt>
                <c:pt idx="29">
                  <c:v>34.615106842149594</c:v>
                </c:pt>
                <c:pt idx="30">
                  <c:v>34.590106842149595</c:v>
                </c:pt>
                <c:pt idx="31">
                  <c:v>34.565106842149596</c:v>
                </c:pt>
                <c:pt idx="32">
                  <c:v>34.540106842149598</c:v>
                </c:pt>
                <c:pt idx="33">
                  <c:v>34.515106842149599</c:v>
                </c:pt>
                <c:pt idx="34">
                  <c:v>34.490106842149601</c:v>
                </c:pt>
                <c:pt idx="35">
                  <c:v>34.465106842149602</c:v>
                </c:pt>
                <c:pt idx="36">
                  <c:v>34.440106842149603</c:v>
                </c:pt>
                <c:pt idx="37">
                  <c:v>34.415106842149605</c:v>
                </c:pt>
                <c:pt idx="38">
                  <c:v>34.390106842149606</c:v>
                </c:pt>
                <c:pt idx="39">
                  <c:v>34.365106842149608</c:v>
                </c:pt>
                <c:pt idx="40">
                  <c:v>34.340106842149609</c:v>
                </c:pt>
                <c:pt idx="41">
                  <c:v>34.915106842149576</c:v>
                </c:pt>
                <c:pt idx="42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07F-7144-BF96-854D69D3C829}"/>
            </c:ext>
          </c:extLst>
        </c:ser>
        <c:ser>
          <c:idx val="1"/>
          <c:order val="2"/>
          <c:tx>
            <c:strRef>
              <c:f>Standortgrafik!$Q$17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Standortgrafik!$Q$18:$Q$60</c:f>
              <c:numCache>
                <c:formatCode>0.00</c:formatCode>
                <c:ptCount val="43"/>
                <c:pt idx="0">
                  <c:v>-12.283967773305619</c:v>
                </c:pt>
                <c:pt idx="1">
                  <c:v>-12.300517090912933</c:v>
                </c:pt>
                <c:pt idx="2">
                  <c:v>-12.317005981698969</c:v>
                </c:pt>
                <c:pt idx="3">
                  <c:v>-12.333434633942659</c:v>
                </c:pt>
                <c:pt idx="4">
                  <c:v>-12.349803234727801</c:v>
                </c:pt>
                <c:pt idx="5">
                  <c:v>-12.366111969952954</c:v>
                </c:pt>
                <c:pt idx="6">
                  <c:v>-12.382361024341776</c:v>
                </c:pt>
                <c:pt idx="7">
                  <c:v>-12.398550581452753</c:v>
                </c:pt>
                <c:pt idx="8">
                  <c:v>-12.414680823689309</c:v>
                </c:pt>
                <c:pt idx="9">
                  <c:v>-12.430751932309192</c:v>
                </c:pt>
                <c:pt idx="10">
                  <c:v>-12.446764087434758</c:v>
                </c:pt>
                <c:pt idx="11">
                  <c:v>-12.462717468061669</c:v>
                </c:pt>
                <c:pt idx="12">
                  <c:v>-12.478612252069126</c:v>
                </c:pt>
                <c:pt idx="13">
                  <c:v>-12.494448616228624</c:v>
                </c:pt>
                <c:pt idx="14">
                  <c:v>-12.510226736213383</c:v>
                </c:pt>
                <c:pt idx="15">
                  <c:v>-12.525946786607562</c:v>
                </c:pt>
                <c:pt idx="16">
                  <c:v>-12.541608940915182</c:v>
                </c:pt>
                <c:pt idx="17">
                  <c:v>-12.557213371568992</c:v>
                </c:pt>
                <c:pt idx="18">
                  <c:v>-12.572760249939392</c:v>
                </c:pt>
                <c:pt idx="19">
                  <c:v>-12.588249746343024</c:v>
                </c:pt>
                <c:pt idx="20">
                  <c:v>-12.603682030051573</c:v>
                </c:pt>
                <c:pt idx="21">
                  <c:v>-12.619057269300356</c:v>
                </c:pt>
                <c:pt idx="22">
                  <c:v>-12.63437563129628</c:v>
                </c:pt>
                <c:pt idx="23">
                  <c:v>-12.649637282226877</c:v>
                </c:pt>
                <c:pt idx="24">
                  <c:v>-12.664842387268038</c:v>
                </c:pt>
                <c:pt idx="25">
                  <c:v>-12.679991110592425</c:v>
                </c:pt>
                <c:pt idx="26">
                  <c:v>-12.695083615377655</c:v>
                </c:pt>
                <c:pt idx="27">
                  <c:v>-12.710120063813747</c:v>
                </c:pt>
                <c:pt idx="28">
                  <c:v>-12.725100617111821</c:v>
                </c:pt>
                <c:pt idx="29">
                  <c:v>-12.740025435511484</c:v>
                </c:pt>
                <c:pt idx="30">
                  <c:v>-12.754894678288395</c:v>
                </c:pt>
                <c:pt idx="31">
                  <c:v>-12.769708503762331</c:v>
                </c:pt>
                <c:pt idx="32">
                  <c:v>-12.78446706930464</c:v>
                </c:pt>
                <c:pt idx="33">
                  <c:v>-12.79917053134551</c:v>
                </c:pt>
                <c:pt idx="34">
                  <c:v>-12.813819045381649</c:v>
                </c:pt>
                <c:pt idx="35">
                  <c:v>-12.828412765983558</c:v>
                </c:pt>
                <c:pt idx="36">
                  <c:v>-12.842951846802805</c:v>
                </c:pt>
                <c:pt idx="37">
                  <c:v>-12.857436440578965</c:v>
                </c:pt>
                <c:pt idx="38">
                  <c:v>-12.871866699147347</c:v>
                </c:pt>
                <c:pt idx="39">
                  <c:v>-12.88624277344519</c:v>
                </c:pt>
                <c:pt idx="40">
                  <c:v>-12.900564813519452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35.340106842149552</c:v>
                </c:pt>
                <c:pt idx="1">
                  <c:v>35.315106842149554</c:v>
                </c:pt>
                <c:pt idx="2">
                  <c:v>35.290106842149555</c:v>
                </c:pt>
                <c:pt idx="3">
                  <c:v>35.265106842149557</c:v>
                </c:pt>
                <c:pt idx="4">
                  <c:v>35.240106842149558</c:v>
                </c:pt>
                <c:pt idx="5">
                  <c:v>35.215106842149559</c:v>
                </c:pt>
                <c:pt idx="6">
                  <c:v>35.190106842149561</c:v>
                </c:pt>
                <c:pt idx="7">
                  <c:v>35.165106842149562</c:v>
                </c:pt>
                <c:pt idx="8">
                  <c:v>35.140106842149564</c:v>
                </c:pt>
                <c:pt idx="9">
                  <c:v>35.115106842149565</c:v>
                </c:pt>
                <c:pt idx="10">
                  <c:v>35.090106842149567</c:v>
                </c:pt>
                <c:pt idx="11">
                  <c:v>35.065106842149568</c:v>
                </c:pt>
                <c:pt idx="12">
                  <c:v>35.040106842149569</c:v>
                </c:pt>
                <c:pt idx="13">
                  <c:v>35.015106842149571</c:v>
                </c:pt>
                <c:pt idx="14">
                  <c:v>34.990106842149572</c:v>
                </c:pt>
                <c:pt idx="15">
                  <c:v>34.965106842149574</c:v>
                </c:pt>
                <c:pt idx="16">
                  <c:v>34.940106842149575</c:v>
                </c:pt>
                <c:pt idx="17">
                  <c:v>34.915106842149576</c:v>
                </c:pt>
                <c:pt idx="18">
                  <c:v>34.890106842149578</c:v>
                </c:pt>
                <c:pt idx="19">
                  <c:v>34.865106842149579</c:v>
                </c:pt>
                <c:pt idx="20">
                  <c:v>34.840106842149581</c:v>
                </c:pt>
                <c:pt idx="21">
                  <c:v>34.815106842149582</c:v>
                </c:pt>
                <c:pt idx="22">
                  <c:v>34.790106842149584</c:v>
                </c:pt>
                <c:pt idx="23">
                  <c:v>34.765106842149585</c:v>
                </c:pt>
                <c:pt idx="24">
                  <c:v>34.740106842149586</c:v>
                </c:pt>
                <c:pt idx="25">
                  <c:v>34.715106842149588</c:v>
                </c:pt>
                <c:pt idx="26">
                  <c:v>34.690106842149589</c:v>
                </c:pt>
                <c:pt idx="27">
                  <c:v>34.665106842149591</c:v>
                </c:pt>
                <c:pt idx="28">
                  <c:v>34.640106842149592</c:v>
                </c:pt>
                <c:pt idx="29">
                  <c:v>34.615106842149594</c:v>
                </c:pt>
                <c:pt idx="30">
                  <c:v>34.590106842149595</c:v>
                </c:pt>
                <c:pt idx="31">
                  <c:v>34.565106842149596</c:v>
                </c:pt>
                <c:pt idx="32">
                  <c:v>34.540106842149598</c:v>
                </c:pt>
                <c:pt idx="33">
                  <c:v>34.515106842149599</c:v>
                </c:pt>
                <c:pt idx="34">
                  <c:v>34.490106842149601</c:v>
                </c:pt>
                <c:pt idx="35">
                  <c:v>34.465106842149602</c:v>
                </c:pt>
                <c:pt idx="36">
                  <c:v>34.440106842149603</c:v>
                </c:pt>
                <c:pt idx="37">
                  <c:v>34.415106842149605</c:v>
                </c:pt>
                <c:pt idx="38">
                  <c:v>34.390106842149606</c:v>
                </c:pt>
                <c:pt idx="39">
                  <c:v>34.365106842149608</c:v>
                </c:pt>
                <c:pt idx="40">
                  <c:v>34.340106842149609</c:v>
                </c:pt>
                <c:pt idx="41">
                  <c:v>34.915106842149576</c:v>
                </c:pt>
                <c:pt idx="42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07F-7144-BF96-854D69D3C829}"/>
            </c:ext>
          </c:extLst>
        </c:ser>
        <c:ser>
          <c:idx val="2"/>
          <c:order val="3"/>
          <c:tx>
            <c:strRef>
              <c:f>Standortgrafik!$R$17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4-807F-7144-BF96-854D69D3C829}"/>
              </c:ext>
            </c:extLst>
          </c:dPt>
          <c:xVal>
            <c:numRef>
              <c:f>Standortgrafik!$R$18:$R$60</c:f>
              <c:numCache>
                <c:formatCode>General</c:formatCode>
                <c:ptCount val="43"/>
                <c:pt idx="41" formatCode="0.00">
                  <c:v>-12.33337594373978</c:v>
                </c:pt>
                <c:pt idx="42" formatCode="0.00">
                  <c:v>-12.649637282226893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35.340106842149552</c:v>
                </c:pt>
                <c:pt idx="1">
                  <c:v>35.315106842149554</c:v>
                </c:pt>
                <c:pt idx="2">
                  <c:v>35.290106842149555</c:v>
                </c:pt>
                <c:pt idx="3">
                  <c:v>35.265106842149557</c:v>
                </c:pt>
                <c:pt idx="4">
                  <c:v>35.240106842149558</c:v>
                </c:pt>
                <c:pt idx="5">
                  <c:v>35.215106842149559</c:v>
                </c:pt>
                <c:pt idx="6">
                  <c:v>35.190106842149561</c:v>
                </c:pt>
                <c:pt idx="7">
                  <c:v>35.165106842149562</c:v>
                </c:pt>
                <c:pt idx="8">
                  <c:v>35.140106842149564</c:v>
                </c:pt>
                <c:pt idx="9">
                  <c:v>35.115106842149565</c:v>
                </c:pt>
                <c:pt idx="10">
                  <c:v>35.090106842149567</c:v>
                </c:pt>
                <c:pt idx="11">
                  <c:v>35.065106842149568</c:v>
                </c:pt>
                <c:pt idx="12">
                  <c:v>35.040106842149569</c:v>
                </c:pt>
                <c:pt idx="13">
                  <c:v>35.015106842149571</c:v>
                </c:pt>
                <c:pt idx="14">
                  <c:v>34.990106842149572</c:v>
                </c:pt>
                <c:pt idx="15">
                  <c:v>34.965106842149574</c:v>
                </c:pt>
                <c:pt idx="16">
                  <c:v>34.940106842149575</c:v>
                </c:pt>
                <c:pt idx="17">
                  <c:v>34.915106842149576</c:v>
                </c:pt>
                <c:pt idx="18">
                  <c:v>34.890106842149578</c:v>
                </c:pt>
                <c:pt idx="19">
                  <c:v>34.865106842149579</c:v>
                </c:pt>
                <c:pt idx="20">
                  <c:v>34.840106842149581</c:v>
                </c:pt>
                <c:pt idx="21">
                  <c:v>34.815106842149582</c:v>
                </c:pt>
                <c:pt idx="22">
                  <c:v>34.790106842149584</c:v>
                </c:pt>
                <c:pt idx="23">
                  <c:v>34.765106842149585</c:v>
                </c:pt>
                <c:pt idx="24">
                  <c:v>34.740106842149586</c:v>
                </c:pt>
                <c:pt idx="25">
                  <c:v>34.715106842149588</c:v>
                </c:pt>
                <c:pt idx="26">
                  <c:v>34.690106842149589</c:v>
                </c:pt>
                <c:pt idx="27">
                  <c:v>34.665106842149591</c:v>
                </c:pt>
                <c:pt idx="28">
                  <c:v>34.640106842149592</c:v>
                </c:pt>
                <c:pt idx="29">
                  <c:v>34.615106842149594</c:v>
                </c:pt>
                <c:pt idx="30">
                  <c:v>34.590106842149595</c:v>
                </c:pt>
                <c:pt idx="31">
                  <c:v>34.565106842149596</c:v>
                </c:pt>
                <c:pt idx="32">
                  <c:v>34.540106842149598</c:v>
                </c:pt>
                <c:pt idx="33">
                  <c:v>34.515106842149599</c:v>
                </c:pt>
                <c:pt idx="34">
                  <c:v>34.490106842149601</c:v>
                </c:pt>
                <c:pt idx="35">
                  <c:v>34.465106842149602</c:v>
                </c:pt>
                <c:pt idx="36">
                  <c:v>34.440106842149603</c:v>
                </c:pt>
                <c:pt idx="37">
                  <c:v>34.415106842149605</c:v>
                </c:pt>
                <c:pt idx="38">
                  <c:v>34.390106842149606</c:v>
                </c:pt>
                <c:pt idx="39">
                  <c:v>34.365106842149608</c:v>
                </c:pt>
                <c:pt idx="40">
                  <c:v>34.340106842149609</c:v>
                </c:pt>
                <c:pt idx="41">
                  <c:v>34.915106842149576</c:v>
                </c:pt>
                <c:pt idx="42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07F-7144-BF96-854D69D3C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0.16660000000000003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16660000000000003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Standortgrafik!$O$17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Standortgrafik!$O$18:$O$60</c:f>
              <c:numCache>
                <c:formatCode>0.00</c:formatCode>
                <c:ptCount val="43"/>
                <c:pt idx="0">
                  <c:v>-12.05092835646451</c:v>
                </c:pt>
                <c:pt idx="1">
                  <c:v>-12.067728203300533</c:v>
                </c:pt>
                <c:pt idx="2">
                  <c:v>-12.084466480267906</c:v>
                </c:pt>
                <c:pt idx="3">
                  <c:v>-12.101143382768441</c:v>
                </c:pt>
                <c:pt idx="4">
                  <c:v>-12.117759104943048</c:v>
                </c:pt>
                <c:pt idx="5">
                  <c:v>-12.134313839682989</c:v>
                </c:pt>
                <c:pt idx="6">
                  <c:v>-12.150807778640342</c:v>
                </c:pt>
                <c:pt idx="7">
                  <c:v>-12.167241112239196</c:v>
                </c:pt>
                <c:pt idx="8">
                  <c:v>-12.1836140296856</c:v>
                </c:pt>
                <c:pt idx="9">
                  <c:v>-12.199926718978872</c:v>
                </c:pt>
                <c:pt idx="10">
                  <c:v>-12.216179366921097</c:v>
                </c:pt>
                <c:pt idx="11">
                  <c:v>-12.232372159127976</c:v>
                </c:pt>
                <c:pt idx="12">
                  <c:v>-12.248505280038671</c:v>
                </c:pt>
                <c:pt idx="13">
                  <c:v>-12.264578912925856</c:v>
                </c:pt>
                <c:pt idx="14">
                  <c:v>-12.2805932399055</c:v>
                </c:pt>
                <c:pt idx="15">
                  <c:v>-12.296548441947039</c:v>
                </c:pt>
                <c:pt idx="16">
                  <c:v>-12.312444698882473</c:v>
                </c:pt>
                <c:pt idx="17">
                  <c:v>-12.328282189416313</c:v>
                </c:pt>
                <c:pt idx="18">
                  <c:v>-12.344061091135075</c:v>
                </c:pt>
                <c:pt idx="19">
                  <c:v>-12.359781580516255</c:v>
                </c:pt>
                <c:pt idx="20">
                  <c:v>-12.37544383293806</c:v>
                </c:pt>
                <c:pt idx="21">
                  <c:v>-12.391048022688096</c:v>
                </c:pt>
                <c:pt idx="22">
                  <c:v>-12.406594322972751</c:v>
                </c:pt>
                <c:pt idx="23">
                  <c:v>-12.42208290592589</c:v>
                </c:pt>
                <c:pt idx="24">
                  <c:v>-12.437513942617841</c:v>
                </c:pt>
                <c:pt idx="25">
                  <c:v>-12.452887603064255</c:v>
                </c:pt>
                <c:pt idx="26">
                  <c:v>-12.468204056234299</c:v>
                </c:pt>
                <c:pt idx="27">
                  <c:v>-12.483463470059746</c:v>
                </c:pt>
                <c:pt idx="28">
                  <c:v>-12.498666011443277</c:v>
                </c:pt>
                <c:pt idx="29">
                  <c:v>-12.513811846266549</c:v>
                </c:pt>
                <c:pt idx="30">
                  <c:v>-12.52890113939884</c:v>
                </c:pt>
                <c:pt idx="31">
                  <c:v>-12.543934054705119</c:v>
                </c:pt>
                <c:pt idx="32">
                  <c:v>-12.558910755054001</c:v>
                </c:pt>
                <c:pt idx="33">
                  <c:v>-12.573831402326107</c:v>
                </c:pt>
                <c:pt idx="34">
                  <c:v>-12.588696157421566</c:v>
                </c:pt>
                <c:pt idx="35">
                  <c:v>-12.603505180268201</c:v>
                </c:pt>
                <c:pt idx="36">
                  <c:v>-12.618258629829199</c:v>
                </c:pt>
                <c:pt idx="37">
                  <c:v>-12.632956664110452</c:v>
                </c:pt>
                <c:pt idx="38">
                  <c:v>-12.64759944016879</c:v>
                </c:pt>
                <c:pt idx="39">
                  <c:v>-12.662187114118979</c:v>
                </c:pt>
                <c:pt idx="40">
                  <c:v>-12.676719841141221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35.340106842149552</c:v>
                </c:pt>
                <c:pt idx="1">
                  <c:v>35.315106842149554</c:v>
                </c:pt>
                <c:pt idx="2">
                  <c:v>35.290106842149555</c:v>
                </c:pt>
                <c:pt idx="3">
                  <c:v>35.265106842149557</c:v>
                </c:pt>
                <c:pt idx="4">
                  <c:v>35.240106842149558</c:v>
                </c:pt>
                <c:pt idx="5">
                  <c:v>35.215106842149559</c:v>
                </c:pt>
                <c:pt idx="6">
                  <c:v>35.190106842149561</c:v>
                </c:pt>
                <c:pt idx="7">
                  <c:v>35.165106842149562</c:v>
                </c:pt>
                <c:pt idx="8">
                  <c:v>35.140106842149564</c:v>
                </c:pt>
                <c:pt idx="9">
                  <c:v>35.115106842149565</c:v>
                </c:pt>
                <c:pt idx="10">
                  <c:v>35.090106842149567</c:v>
                </c:pt>
                <c:pt idx="11">
                  <c:v>35.065106842149568</c:v>
                </c:pt>
                <c:pt idx="12">
                  <c:v>35.040106842149569</c:v>
                </c:pt>
                <c:pt idx="13">
                  <c:v>35.015106842149571</c:v>
                </c:pt>
                <c:pt idx="14">
                  <c:v>34.990106842149572</c:v>
                </c:pt>
                <c:pt idx="15">
                  <c:v>34.965106842149574</c:v>
                </c:pt>
                <c:pt idx="16">
                  <c:v>34.940106842149575</c:v>
                </c:pt>
                <c:pt idx="17">
                  <c:v>34.915106842149576</c:v>
                </c:pt>
                <c:pt idx="18">
                  <c:v>34.890106842149578</c:v>
                </c:pt>
                <c:pt idx="19">
                  <c:v>34.865106842149579</c:v>
                </c:pt>
                <c:pt idx="20">
                  <c:v>34.840106842149581</c:v>
                </c:pt>
                <c:pt idx="21">
                  <c:v>34.815106842149582</c:v>
                </c:pt>
                <c:pt idx="22">
                  <c:v>34.790106842149584</c:v>
                </c:pt>
                <c:pt idx="23">
                  <c:v>34.765106842149585</c:v>
                </c:pt>
                <c:pt idx="24">
                  <c:v>34.740106842149586</c:v>
                </c:pt>
                <c:pt idx="25">
                  <c:v>34.715106842149588</c:v>
                </c:pt>
                <c:pt idx="26">
                  <c:v>34.690106842149589</c:v>
                </c:pt>
                <c:pt idx="27">
                  <c:v>34.665106842149591</c:v>
                </c:pt>
                <c:pt idx="28">
                  <c:v>34.640106842149592</c:v>
                </c:pt>
                <c:pt idx="29">
                  <c:v>34.615106842149594</c:v>
                </c:pt>
                <c:pt idx="30">
                  <c:v>34.590106842149595</c:v>
                </c:pt>
                <c:pt idx="31">
                  <c:v>34.565106842149596</c:v>
                </c:pt>
                <c:pt idx="32">
                  <c:v>34.540106842149598</c:v>
                </c:pt>
                <c:pt idx="33">
                  <c:v>34.515106842149599</c:v>
                </c:pt>
                <c:pt idx="34">
                  <c:v>34.490106842149601</c:v>
                </c:pt>
                <c:pt idx="35">
                  <c:v>34.465106842149602</c:v>
                </c:pt>
                <c:pt idx="36">
                  <c:v>34.440106842149603</c:v>
                </c:pt>
                <c:pt idx="37">
                  <c:v>34.415106842149605</c:v>
                </c:pt>
                <c:pt idx="38">
                  <c:v>34.390106842149606</c:v>
                </c:pt>
                <c:pt idx="39">
                  <c:v>34.365106842149608</c:v>
                </c:pt>
                <c:pt idx="40">
                  <c:v>34.340106842149609</c:v>
                </c:pt>
                <c:pt idx="41">
                  <c:v>34.915106842149576</c:v>
                </c:pt>
                <c:pt idx="42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4B8-BA4B-B60E-1C15A8AB85BF}"/>
            </c:ext>
          </c:extLst>
        </c:ser>
        <c:ser>
          <c:idx val="0"/>
          <c:order val="1"/>
          <c:tx>
            <c:strRef>
              <c:f>Standortgrafik!$P$17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Standortgrafik!$P$18:$P$60</c:f>
              <c:numCache>
                <c:formatCode>0.00</c:formatCode>
                <c:ptCount val="43"/>
                <c:pt idx="0">
                  <c:v>-12.872461937996158</c:v>
                </c:pt>
                <c:pt idx="1">
                  <c:v>-12.862382854932481</c:v>
                </c:pt>
                <c:pt idx="2">
                  <c:v>-12.852339794268154</c:v>
                </c:pt>
                <c:pt idx="3">
                  <c:v>-12.842332687161015</c:v>
                </c:pt>
                <c:pt idx="4">
                  <c:v>-12.832361465057501</c:v>
                </c:pt>
                <c:pt idx="5">
                  <c:v>-12.822426059691153</c:v>
                </c:pt>
                <c:pt idx="6">
                  <c:v>-12.812526403081165</c:v>
                </c:pt>
                <c:pt idx="7">
                  <c:v>-12.802662427530997</c:v>
                </c:pt>
                <c:pt idx="8">
                  <c:v>-12.792834065626856</c:v>
                </c:pt>
                <c:pt idx="9">
                  <c:v>-12.783041250236318</c:v>
                </c:pt>
                <c:pt idx="10">
                  <c:v>-12.773283914506921</c:v>
                </c:pt>
                <c:pt idx="11">
                  <c:v>-12.763561991864684</c:v>
                </c:pt>
                <c:pt idx="12">
                  <c:v>-12.753875416012875</c:v>
                </c:pt>
                <c:pt idx="13">
                  <c:v>-12.744224120930383</c:v>
                </c:pt>
                <c:pt idx="14">
                  <c:v>-12.734608040870597</c:v>
                </c:pt>
                <c:pt idx="15">
                  <c:v>-12.725027110359818</c:v>
                </c:pt>
                <c:pt idx="16">
                  <c:v>-12.7154812641961</c:v>
                </c:pt>
                <c:pt idx="17">
                  <c:v>-12.705970437447707</c:v>
                </c:pt>
                <c:pt idx="18">
                  <c:v>-12.696494565451889</c:v>
                </c:pt>
                <c:pt idx="19">
                  <c:v>-12.687053583813572</c:v>
                </c:pt>
                <c:pt idx="20">
                  <c:v>-12.677647428404008</c:v>
                </c:pt>
                <c:pt idx="21">
                  <c:v>-12.66827603535935</c:v>
                </c:pt>
                <c:pt idx="22">
                  <c:v>-12.658939341079545</c:v>
                </c:pt>
                <c:pt idx="23">
                  <c:v>-12.649637282226932</c:v>
                </c:pt>
                <c:pt idx="24">
                  <c:v>-12.640369795724908</c:v>
                </c:pt>
                <c:pt idx="25">
                  <c:v>-12.631136818756799</c:v>
                </c:pt>
                <c:pt idx="26">
                  <c:v>-12.621938288764463</c:v>
                </c:pt>
                <c:pt idx="27">
                  <c:v>-12.61277414344708</c:v>
                </c:pt>
                <c:pt idx="28">
                  <c:v>-12.603644320759932</c:v>
                </c:pt>
                <c:pt idx="29">
                  <c:v>-12.59454875891303</c:v>
                </c:pt>
                <c:pt idx="30">
                  <c:v>-12.585487396370098</c:v>
                </c:pt>
                <c:pt idx="31">
                  <c:v>-12.576460171847115</c:v>
                </c:pt>
                <c:pt idx="32">
                  <c:v>-12.56746702431135</c:v>
                </c:pt>
                <c:pt idx="33">
                  <c:v>-12.558507892979854</c:v>
                </c:pt>
                <c:pt idx="34">
                  <c:v>-12.549582717318522</c:v>
                </c:pt>
                <c:pt idx="35">
                  <c:v>-12.540691437040801</c:v>
                </c:pt>
                <c:pt idx="36">
                  <c:v>-12.531833992106458</c:v>
                </c:pt>
                <c:pt idx="37">
                  <c:v>-12.523010322720442</c:v>
                </c:pt>
                <c:pt idx="38">
                  <c:v>-12.514220369331778</c:v>
                </c:pt>
                <c:pt idx="39">
                  <c:v>-12.505464072632305</c:v>
                </c:pt>
                <c:pt idx="40">
                  <c:v>-12.496741373555613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35.340106842149552</c:v>
                </c:pt>
                <c:pt idx="1">
                  <c:v>35.315106842149554</c:v>
                </c:pt>
                <c:pt idx="2">
                  <c:v>35.290106842149555</c:v>
                </c:pt>
                <c:pt idx="3">
                  <c:v>35.265106842149557</c:v>
                </c:pt>
                <c:pt idx="4">
                  <c:v>35.240106842149558</c:v>
                </c:pt>
                <c:pt idx="5">
                  <c:v>35.215106842149559</c:v>
                </c:pt>
                <c:pt idx="6">
                  <c:v>35.190106842149561</c:v>
                </c:pt>
                <c:pt idx="7">
                  <c:v>35.165106842149562</c:v>
                </c:pt>
                <c:pt idx="8">
                  <c:v>35.140106842149564</c:v>
                </c:pt>
                <c:pt idx="9">
                  <c:v>35.115106842149565</c:v>
                </c:pt>
                <c:pt idx="10">
                  <c:v>35.090106842149567</c:v>
                </c:pt>
                <c:pt idx="11">
                  <c:v>35.065106842149568</c:v>
                </c:pt>
                <c:pt idx="12">
                  <c:v>35.040106842149569</c:v>
                </c:pt>
                <c:pt idx="13">
                  <c:v>35.015106842149571</c:v>
                </c:pt>
                <c:pt idx="14">
                  <c:v>34.990106842149572</c:v>
                </c:pt>
                <c:pt idx="15">
                  <c:v>34.965106842149574</c:v>
                </c:pt>
                <c:pt idx="16">
                  <c:v>34.940106842149575</c:v>
                </c:pt>
                <c:pt idx="17">
                  <c:v>34.915106842149576</c:v>
                </c:pt>
                <c:pt idx="18">
                  <c:v>34.890106842149578</c:v>
                </c:pt>
                <c:pt idx="19">
                  <c:v>34.865106842149579</c:v>
                </c:pt>
                <c:pt idx="20">
                  <c:v>34.840106842149581</c:v>
                </c:pt>
                <c:pt idx="21">
                  <c:v>34.815106842149582</c:v>
                </c:pt>
                <c:pt idx="22">
                  <c:v>34.790106842149584</c:v>
                </c:pt>
                <c:pt idx="23">
                  <c:v>34.765106842149585</c:v>
                </c:pt>
                <c:pt idx="24">
                  <c:v>34.740106842149586</c:v>
                </c:pt>
                <c:pt idx="25">
                  <c:v>34.715106842149588</c:v>
                </c:pt>
                <c:pt idx="26">
                  <c:v>34.690106842149589</c:v>
                </c:pt>
                <c:pt idx="27">
                  <c:v>34.665106842149591</c:v>
                </c:pt>
                <c:pt idx="28">
                  <c:v>34.640106842149592</c:v>
                </c:pt>
                <c:pt idx="29">
                  <c:v>34.615106842149594</c:v>
                </c:pt>
                <c:pt idx="30">
                  <c:v>34.590106842149595</c:v>
                </c:pt>
                <c:pt idx="31">
                  <c:v>34.565106842149596</c:v>
                </c:pt>
                <c:pt idx="32">
                  <c:v>34.540106842149598</c:v>
                </c:pt>
                <c:pt idx="33">
                  <c:v>34.515106842149599</c:v>
                </c:pt>
                <c:pt idx="34">
                  <c:v>34.490106842149601</c:v>
                </c:pt>
                <c:pt idx="35">
                  <c:v>34.465106842149602</c:v>
                </c:pt>
                <c:pt idx="36">
                  <c:v>34.440106842149603</c:v>
                </c:pt>
                <c:pt idx="37">
                  <c:v>34.415106842149605</c:v>
                </c:pt>
                <c:pt idx="38">
                  <c:v>34.390106842149606</c:v>
                </c:pt>
                <c:pt idx="39">
                  <c:v>34.365106842149608</c:v>
                </c:pt>
                <c:pt idx="40">
                  <c:v>34.340106842149609</c:v>
                </c:pt>
                <c:pt idx="41">
                  <c:v>34.915106842149576</c:v>
                </c:pt>
                <c:pt idx="42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04B8-BA4B-B60E-1C15A8AB85BF}"/>
            </c:ext>
          </c:extLst>
        </c:ser>
        <c:ser>
          <c:idx val="1"/>
          <c:order val="2"/>
          <c:tx>
            <c:strRef>
              <c:f>Standortgrafik!$Q$17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Standortgrafik!$Q$18:$Q$60</c:f>
              <c:numCache>
                <c:formatCode>0.00</c:formatCode>
                <c:ptCount val="43"/>
                <c:pt idx="0">
                  <c:v>-12.283967773305619</c:v>
                </c:pt>
                <c:pt idx="1">
                  <c:v>-12.300517090912933</c:v>
                </c:pt>
                <c:pt idx="2">
                  <c:v>-12.317005981698969</c:v>
                </c:pt>
                <c:pt idx="3">
                  <c:v>-12.333434633942659</c:v>
                </c:pt>
                <c:pt idx="4">
                  <c:v>-12.349803234727801</c:v>
                </c:pt>
                <c:pt idx="5">
                  <c:v>-12.366111969952954</c:v>
                </c:pt>
                <c:pt idx="6">
                  <c:v>-12.382361024341776</c:v>
                </c:pt>
                <c:pt idx="7">
                  <c:v>-12.398550581452753</c:v>
                </c:pt>
                <c:pt idx="8">
                  <c:v>-12.414680823689309</c:v>
                </c:pt>
                <c:pt idx="9">
                  <c:v>-12.430751932309192</c:v>
                </c:pt>
                <c:pt idx="10">
                  <c:v>-12.446764087434758</c:v>
                </c:pt>
                <c:pt idx="11">
                  <c:v>-12.462717468061669</c:v>
                </c:pt>
                <c:pt idx="12">
                  <c:v>-12.478612252069126</c:v>
                </c:pt>
                <c:pt idx="13">
                  <c:v>-12.494448616228624</c:v>
                </c:pt>
                <c:pt idx="14">
                  <c:v>-12.510226736213383</c:v>
                </c:pt>
                <c:pt idx="15">
                  <c:v>-12.525946786607562</c:v>
                </c:pt>
                <c:pt idx="16">
                  <c:v>-12.541608940915182</c:v>
                </c:pt>
                <c:pt idx="17">
                  <c:v>-12.557213371568992</c:v>
                </c:pt>
                <c:pt idx="18">
                  <c:v>-12.572760249939392</c:v>
                </c:pt>
                <c:pt idx="19">
                  <c:v>-12.588249746343024</c:v>
                </c:pt>
                <c:pt idx="20">
                  <c:v>-12.603682030051573</c:v>
                </c:pt>
                <c:pt idx="21">
                  <c:v>-12.619057269300356</c:v>
                </c:pt>
                <c:pt idx="22">
                  <c:v>-12.63437563129628</c:v>
                </c:pt>
                <c:pt idx="23">
                  <c:v>-12.649637282226877</c:v>
                </c:pt>
                <c:pt idx="24">
                  <c:v>-12.664842387268038</c:v>
                </c:pt>
                <c:pt idx="25">
                  <c:v>-12.679991110592425</c:v>
                </c:pt>
                <c:pt idx="26">
                  <c:v>-12.695083615377655</c:v>
                </c:pt>
                <c:pt idx="27">
                  <c:v>-12.710120063813747</c:v>
                </c:pt>
                <c:pt idx="28">
                  <c:v>-12.725100617111821</c:v>
                </c:pt>
                <c:pt idx="29">
                  <c:v>-12.740025435511484</c:v>
                </c:pt>
                <c:pt idx="30">
                  <c:v>-12.754894678288395</c:v>
                </c:pt>
                <c:pt idx="31">
                  <c:v>-12.769708503762331</c:v>
                </c:pt>
                <c:pt idx="32">
                  <c:v>-12.78446706930464</c:v>
                </c:pt>
                <c:pt idx="33">
                  <c:v>-12.79917053134551</c:v>
                </c:pt>
                <c:pt idx="34">
                  <c:v>-12.813819045381649</c:v>
                </c:pt>
                <c:pt idx="35">
                  <c:v>-12.828412765983558</c:v>
                </c:pt>
                <c:pt idx="36">
                  <c:v>-12.842951846802805</c:v>
                </c:pt>
                <c:pt idx="37">
                  <c:v>-12.857436440578965</c:v>
                </c:pt>
                <c:pt idx="38">
                  <c:v>-12.871866699147347</c:v>
                </c:pt>
                <c:pt idx="39">
                  <c:v>-12.88624277344519</c:v>
                </c:pt>
                <c:pt idx="40">
                  <c:v>-12.900564813519452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35.340106842149552</c:v>
                </c:pt>
                <c:pt idx="1">
                  <c:v>35.315106842149554</c:v>
                </c:pt>
                <c:pt idx="2">
                  <c:v>35.290106842149555</c:v>
                </c:pt>
                <c:pt idx="3">
                  <c:v>35.265106842149557</c:v>
                </c:pt>
                <c:pt idx="4">
                  <c:v>35.240106842149558</c:v>
                </c:pt>
                <c:pt idx="5">
                  <c:v>35.215106842149559</c:v>
                </c:pt>
                <c:pt idx="6">
                  <c:v>35.190106842149561</c:v>
                </c:pt>
                <c:pt idx="7">
                  <c:v>35.165106842149562</c:v>
                </c:pt>
                <c:pt idx="8">
                  <c:v>35.140106842149564</c:v>
                </c:pt>
                <c:pt idx="9">
                  <c:v>35.115106842149565</c:v>
                </c:pt>
                <c:pt idx="10">
                  <c:v>35.090106842149567</c:v>
                </c:pt>
                <c:pt idx="11">
                  <c:v>35.065106842149568</c:v>
                </c:pt>
                <c:pt idx="12">
                  <c:v>35.040106842149569</c:v>
                </c:pt>
                <c:pt idx="13">
                  <c:v>35.015106842149571</c:v>
                </c:pt>
                <c:pt idx="14">
                  <c:v>34.990106842149572</c:v>
                </c:pt>
                <c:pt idx="15">
                  <c:v>34.965106842149574</c:v>
                </c:pt>
                <c:pt idx="16">
                  <c:v>34.940106842149575</c:v>
                </c:pt>
                <c:pt idx="17">
                  <c:v>34.915106842149576</c:v>
                </c:pt>
                <c:pt idx="18">
                  <c:v>34.890106842149578</c:v>
                </c:pt>
                <c:pt idx="19">
                  <c:v>34.865106842149579</c:v>
                </c:pt>
                <c:pt idx="20">
                  <c:v>34.840106842149581</c:v>
                </c:pt>
                <c:pt idx="21">
                  <c:v>34.815106842149582</c:v>
                </c:pt>
                <c:pt idx="22">
                  <c:v>34.790106842149584</c:v>
                </c:pt>
                <c:pt idx="23">
                  <c:v>34.765106842149585</c:v>
                </c:pt>
                <c:pt idx="24">
                  <c:v>34.740106842149586</c:v>
                </c:pt>
                <c:pt idx="25">
                  <c:v>34.715106842149588</c:v>
                </c:pt>
                <c:pt idx="26">
                  <c:v>34.690106842149589</c:v>
                </c:pt>
                <c:pt idx="27">
                  <c:v>34.665106842149591</c:v>
                </c:pt>
                <c:pt idx="28">
                  <c:v>34.640106842149592</c:v>
                </c:pt>
                <c:pt idx="29">
                  <c:v>34.615106842149594</c:v>
                </c:pt>
                <c:pt idx="30">
                  <c:v>34.590106842149595</c:v>
                </c:pt>
                <c:pt idx="31">
                  <c:v>34.565106842149596</c:v>
                </c:pt>
                <c:pt idx="32">
                  <c:v>34.540106842149598</c:v>
                </c:pt>
                <c:pt idx="33">
                  <c:v>34.515106842149599</c:v>
                </c:pt>
                <c:pt idx="34">
                  <c:v>34.490106842149601</c:v>
                </c:pt>
                <c:pt idx="35">
                  <c:v>34.465106842149602</c:v>
                </c:pt>
                <c:pt idx="36">
                  <c:v>34.440106842149603</c:v>
                </c:pt>
                <c:pt idx="37">
                  <c:v>34.415106842149605</c:v>
                </c:pt>
                <c:pt idx="38">
                  <c:v>34.390106842149606</c:v>
                </c:pt>
                <c:pt idx="39">
                  <c:v>34.365106842149608</c:v>
                </c:pt>
                <c:pt idx="40">
                  <c:v>34.340106842149609</c:v>
                </c:pt>
                <c:pt idx="41">
                  <c:v>34.915106842149576</c:v>
                </c:pt>
                <c:pt idx="42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04B8-BA4B-B60E-1C15A8AB85BF}"/>
            </c:ext>
          </c:extLst>
        </c:ser>
        <c:ser>
          <c:idx val="2"/>
          <c:order val="3"/>
          <c:tx>
            <c:strRef>
              <c:f>Standortgrafik!$R$17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D-04B8-BA4B-B60E-1C15A8AB85BF}"/>
              </c:ext>
            </c:extLst>
          </c:dPt>
          <c:xVal>
            <c:numRef>
              <c:f>Standortgrafik!$R$18:$R$60</c:f>
              <c:numCache>
                <c:formatCode>General</c:formatCode>
                <c:ptCount val="43"/>
                <c:pt idx="41" formatCode="0.00">
                  <c:v>-12.33337594373978</c:v>
                </c:pt>
                <c:pt idx="42" formatCode="0.00">
                  <c:v>-12.649637282226893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35.340106842149552</c:v>
                </c:pt>
                <c:pt idx="1">
                  <c:v>35.315106842149554</c:v>
                </c:pt>
                <c:pt idx="2">
                  <c:v>35.290106842149555</c:v>
                </c:pt>
                <c:pt idx="3">
                  <c:v>35.265106842149557</c:v>
                </c:pt>
                <c:pt idx="4">
                  <c:v>35.240106842149558</c:v>
                </c:pt>
                <c:pt idx="5">
                  <c:v>35.215106842149559</c:v>
                </c:pt>
                <c:pt idx="6">
                  <c:v>35.190106842149561</c:v>
                </c:pt>
                <c:pt idx="7">
                  <c:v>35.165106842149562</c:v>
                </c:pt>
                <c:pt idx="8">
                  <c:v>35.140106842149564</c:v>
                </c:pt>
                <c:pt idx="9">
                  <c:v>35.115106842149565</c:v>
                </c:pt>
                <c:pt idx="10">
                  <c:v>35.090106842149567</c:v>
                </c:pt>
                <c:pt idx="11">
                  <c:v>35.065106842149568</c:v>
                </c:pt>
                <c:pt idx="12">
                  <c:v>35.040106842149569</c:v>
                </c:pt>
                <c:pt idx="13">
                  <c:v>35.015106842149571</c:v>
                </c:pt>
                <c:pt idx="14">
                  <c:v>34.990106842149572</c:v>
                </c:pt>
                <c:pt idx="15">
                  <c:v>34.965106842149574</c:v>
                </c:pt>
                <c:pt idx="16">
                  <c:v>34.940106842149575</c:v>
                </c:pt>
                <c:pt idx="17">
                  <c:v>34.915106842149576</c:v>
                </c:pt>
                <c:pt idx="18">
                  <c:v>34.890106842149578</c:v>
                </c:pt>
                <c:pt idx="19">
                  <c:v>34.865106842149579</c:v>
                </c:pt>
                <c:pt idx="20">
                  <c:v>34.840106842149581</c:v>
                </c:pt>
                <c:pt idx="21">
                  <c:v>34.815106842149582</c:v>
                </c:pt>
                <c:pt idx="22">
                  <c:v>34.790106842149584</c:v>
                </c:pt>
                <c:pt idx="23">
                  <c:v>34.765106842149585</c:v>
                </c:pt>
                <c:pt idx="24">
                  <c:v>34.740106842149586</c:v>
                </c:pt>
                <c:pt idx="25">
                  <c:v>34.715106842149588</c:v>
                </c:pt>
                <c:pt idx="26">
                  <c:v>34.690106842149589</c:v>
                </c:pt>
                <c:pt idx="27">
                  <c:v>34.665106842149591</c:v>
                </c:pt>
                <c:pt idx="28">
                  <c:v>34.640106842149592</c:v>
                </c:pt>
                <c:pt idx="29">
                  <c:v>34.615106842149594</c:v>
                </c:pt>
                <c:pt idx="30">
                  <c:v>34.590106842149595</c:v>
                </c:pt>
                <c:pt idx="31">
                  <c:v>34.565106842149596</c:v>
                </c:pt>
                <c:pt idx="32">
                  <c:v>34.540106842149598</c:v>
                </c:pt>
                <c:pt idx="33">
                  <c:v>34.515106842149599</c:v>
                </c:pt>
                <c:pt idx="34">
                  <c:v>34.490106842149601</c:v>
                </c:pt>
                <c:pt idx="35">
                  <c:v>34.465106842149602</c:v>
                </c:pt>
                <c:pt idx="36">
                  <c:v>34.440106842149603</c:v>
                </c:pt>
                <c:pt idx="37">
                  <c:v>34.415106842149605</c:v>
                </c:pt>
                <c:pt idx="38">
                  <c:v>34.390106842149606</c:v>
                </c:pt>
                <c:pt idx="39">
                  <c:v>34.365106842149608</c:v>
                </c:pt>
                <c:pt idx="40">
                  <c:v>34.340106842149609</c:v>
                </c:pt>
                <c:pt idx="41">
                  <c:v>34.915106842149576</c:v>
                </c:pt>
                <c:pt idx="42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04B8-BA4B-B60E-1C15A8AB8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0.16660000000000003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16660000000000003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882708810334875E-2"/>
          <c:y val="1.6340839581893335E-2"/>
          <c:w val="0.86166452597680609"/>
          <c:h val="0.96264283025484187"/>
        </c:manualLayout>
      </c:layout>
      <c:scatterChart>
        <c:scatterStyle val="smoothMarker"/>
        <c:varyColors val="0"/>
        <c:ser>
          <c:idx val="0"/>
          <c:order val="0"/>
          <c:tx>
            <c:v>lamda 1s</c:v>
          </c:tx>
          <c:spPr>
            <a:ln w="1905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Grafik'!$U$8:$U$193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9.33047121724411</c:v>
                </c:pt>
                <c:pt idx="22">
                  <c:v>13.173001406453523</c:v>
                </c:pt>
                <c:pt idx="23">
                  <c:v>14.982779244062613</c:v>
                </c:pt>
                <c:pt idx="24">
                  <c:v>16.351261997771587</c:v>
                </c:pt>
                <c:pt idx="25">
                  <c:v>17.485606176916406</c:v>
                </c:pt>
                <c:pt idx="26">
                  <c:v>18.467419907572037</c:v>
                </c:pt>
                <c:pt idx="27">
                  <c:v>19.339025998303669</c:v>
                </c:pt>
                <c:pt idx="28">
                  <c:v>20.125796805593211</c:v>
                </c:pt>
                <c:pt idx="29">
                  <c:v>20.844398961756553</c:v>
                </c:pt>
                <c:pt idx="30">
                  <c:v>21.506496926779903</c:v>
                </c:pt>
                <c:pt idx="31">
                  <c:v>22.120644508777787</c:v>
                </c:pt>
                <c:pt idx="32">
                  <c:v>22.693343553556133</c:v>
                </c:pt>
                <c:pt idx="33">
                  <c:v>23.229678823945051</c:v>
                </c:pt>
                <c:pt idx="34">
                  <c:v>23.733719864605348</c:v>
                </c:pt>
                <c:pt idx="35">
                  <c:v>24.208786695558615</c:v>
                </c:pt>
                <c:pt idx="36">
                  <c:v>24.65763189486006</c:v>
                </c:pt>
                <c:pt idx="37">
                  <c:v>25.08256919681952</c:v>
                </c:pt>
                <c:pt idx="38">
                  <c:v>25.485566675511564</c:v>
                </c:pt>
                <c:pt idx="39">
                  <c:v>25.868315776125087</c:v>
                </c:pt>
                <c:pt idx="40">
                  <c:v>26.232283449024976</c:v>
                </c:pt>
                <c:pt idx="41">
                  <c:v>26.578752195363677</c:v>
                </c:pt>
                <c:pt idx="42">
                  <c:v>26.908851292624945</c:v>
                </c:pt>
                <c:pt idx="43">
                  <c:v>27.223581471251805</c:v>
                </c:pt>
                <c:pt idx="44">
                  <c:v>27.523834651993866</c:v>
                </c:pt>
                <c:pt idx="45">
                  <c:v>27.810409905124061</c:v>
                </c:pt>
                <c:pt idx="46">
                  <c:v>28.084026482620629</c:v>
                </c:pt>
                <c:pt idx="47">
                  <c:v>28.34533455622676</c:v>
                </c:pt>
                <c:pt idx="48">
                  <c:v>28.594924138290594</c:v>
                </c:pt>
                <c:pt idx="49">
                  <c:v>28.833332549088425</c:v>
                </c:pt>
                <c:pt idx="50">
                  <c:v>29.061050711085159</c:v>
                </c:pt>
                <c:pt idx="51">
                  <c:v>29.278528488611812</c:v>
                </c:pt>
                <c:pt idx="52">
                  <c:v>29.486179244766333</c:v>
                </c:pt>
                <c:pt idx="53">
                  <c:v>29.684383751831945</c:v>
                </c:pt>
                <c:pt idx="54">
                  <c:v>29.873493564210321</c:v>
                </c:pt>
                <c:pt idx="55">
                  <c:v>30.053833941707126</c:v>
                </c:pt>
                <c:pt idx="56">
                  <c:v>30.225706394449844</c:v>
                </c:pt>
                <c:pt idx="57">
                  <c:v>30.389390907670759</c:v>
                </c:pt>
                <c:pt idx="58">
                  <c:v>30.545147894222623</c:v>
                </c:pt>
                <c:pt idx="59">
                  <c:v>30.6932199144062</c:v>
                </c:pt>
                <c:pt idx="60">
                  <c:v>30.83383319601154</c:v>
                </c:pt>
                <c:pt idx="61">
                  <c:v>30.967198982072091</c:v>
                </c:pt>
                <c:pt idx="62">
                  <c:v>31.093514729421145</c:v>
                </c:pt>
                <c:pt idx="63">
                  <c:v>31.212965177529952</c:v>
                </c:pt>
                <c:pt idx="64">
                  <c:v>31.325723304133135</c:v>
                </c:pt>
                <c:pt idx="65">
                  <c:v>31.431951181682905</c:v>
                </c:pt>
                <c:pt idx="66">
                  <c:v>31.531800746623958</c:v>
                </c:pt>
                <c:pt idx="67">
                  <c:v>31.625414491769106</c:v>
                </c:pt>
                <c:pt idx="68">
                  <c:v>31.71292609061743</c:v>
                </c:pt>
                <c:pt idx="69">
                  <c:v>31.794460961243374</c:v>
                </c:pt>
                <c:pt idx="70">
                  <c:v>31.870136776360937</c:v>
                </c:pt>
                <c:pt idx="71">
                  <c:v>31.940063925293998</c:v>
                </c:pt>
                <c:pt idx="72">
                  <c:v>32.004345932839158</c:v>
                </c:pt>
                <c:pt idx="73">
                  <c:v>32.063079839371824</c:v>
                </c:pt>
                <c:pt idx="74">
                  <c:v>32.116356545997633</c:v>
                </c:pt>
                <c:pt idx="75">
                  <c:v>32.164261128079886</c:v>
                </c:pt>
                <c:pt idx="76">
                  <c:v>32.206873120063733</c:v>
                </c:pt>
                <c:pt idx="77">
                  <c:v>32.244266774163293</c:v>
                </c:pt>
                <c:pt idx="78">
                  <c:v>32.276511295167609</c:v>
                </c:pt>
                <c:pt idx="79">
                  <c:v>32.303671053350797</c:v>
                </c:pt>
                <c:pt idx="80">
                  <c:v>32.32580577723138</c:v>
                </c:pt>
                <c:pt idx="81">
                  <c:v>32.342970727718296</c:v>
                </c:pt>
                <c:pt idx="82">
                  <c:v>32.355216854990715</c:v>
                </c:pt>
                <c:pt idx="83">
                  <c:v>32.362590939295671</c:v>
                </c:pt>
                <c:pt idx="84">
                  <c:v>32.365135716697182</c:v>
                </c:pt>
                <c:pt idx="85">
                  <c:v>32.362889990674944</c:v>
                </c:pt>
                <c:pt idx="86">
                  <c:v>32.35588873035266</c:v>
                </c:pt>
                <c:pt idx="87">
                  <c:v>32.344163156020045</c:v>
                </c:pt>
                <c:pt idx="88">
                  <c:v>32.327740812514605</c:v>
                </c:pt>
                <c:pt idx="89">
                  <c:v>32.306645630932223</c:v>
                </c:pt>
                <c:pt idx="90">
                  <c:v>32.280897979044937</c:v>
                </c:pt>
                <c:pt idx="91">
                  <c:v>32.25051470072458</c:v>
                </c:pt>
                <c:pt idx="92">
                  <c:v>32.215509144584416</c:v>
                </c:pt>
                <c:pt idx="93">
                  <c:v>32.175891181977477</c:v>
                </c:pt>
                <c:pt idx="94">
                  <c:v>32.13166721440939</c:v>
                </c:pt>
                <c:pt idx="95">
                  <c:v>32.082840170349471</c:v>
                </c:pt>
                <c:pt idx="96">
                  <c:v>32.029409491345803</c:v>
                </c:pt>
                <c:pt idx="97">
                  <c:v>31.971371107270159</c:v>
                </c:pt>
                <c:pt idx="98">
                  <c:v>31.908717400438832</c:v>
                </c:pt>
                <c:pt idx="99">
                  <c:v>31.841437158268661</c:v>
                </c:pt>
                <c:pt idx="100">
                  <c:v>31.7695155140363</c:v>
                </c:pt>
                <c:pt idx="101">
                  <c:v>31.692933875215772</c:v>
                </c:pt>
                <c:pt idx="102">
                  <c:v>31.611669838757734</c:v>
                </c:pt>
                <c:pt idx="103">
                  <c:v>31.525697092567555</c:v>
                </c:pt>
                <c:pt idx="104">
                  <c:v>31.434985302306302</c:v>
                </c:pt>
                <c:pt idx="105">
                  <c:v>31.339499982504947</c:v>
                </c:pt>
                <c:pt idx="106">
                  <c:v>31.239202350823348</c:v>
                </c:pt>
                <c:pt idx="107">
                  <c:v>31.134049164112582</c:v>
                </c:pt>
                <c:pt idx="108">
                  <c:v>31.023992534742149</c:v>
                </c:pt>
                <c:pt idx="109">
                  <c:v>30.908979725431266</c:v>
                </c:pt>
                <c:pt idx="110">
                  <c:v>30.788952920567567</c:v>
                </c:pt>
                <c:pt idx="111">
                  <c:v>30.663848971707353</c:v>
                </c:pt>
                <c:pt idx="112">
                  <c:v>30.533599114616266</c:v>
                </c:pt>
                <c:pt idx="113">
                  <c:v>30.398128654824347</c:v>
                </c:pt>
                <c:pt idx="114">
                  <c:v>30.257356618220001</c:v>
                </c:pt>
                <c:pt idx="115">
                  <c:v>30.111195362692513</c:v>
                </c:pt>
                <c:pt idx="116">
                  <c:v>29.959550146218419</c:v>
                </c:pt>
                <c:pt idx="117">
                  <c:v>29.802318646083563</c:v>
                </c:pt>
                <c:pt idx="118">
                  <c:v>29.639390423087775</c:v>
                </c:pt>
                <c:pt idx="119">
                  <c:v>29.470646323595247</c:v>
                </c:pt>
                <c:pt idx="120">
                  <c:v>29.295957811115159</c:v>
                </c:pt>
                <c:pt idx="121">
                  <c:v>29.115186217700568</c:v>
                </c:pt>
                <c:pt idx="122">
                  <c:v>28.92818190377676</c:v>
                </c:pt>
                <c:pt idx="123">
                  <c:v>28.734783312995773</c:v>
                </c:pt>
                <c:pt idx="124">
                  <c:v>28.534815906280414</c:v>
                </c:pt>
                <c:pt idx="125">
                  <c:v>28.328090956263395</c:v>
                </c:pt>
                <c:pt idx="126">
                  <c:v>28.114404179717326</c:v>
                </c:pt>
                <c:pt idx="127">
                  <c:v>27.893534181138421</c:v>
                </c:pt>
                <c:pt idx="128">
                  <c:v>27.665240675172356</c:v>
                </c:pt>
                <c:pt idx="129">
                  <c:v>27.429262448765542</c:v>
                </c:pt>
                <c:pt idx="130">
                  <c:v>27.185315015412868</c:v>
                </c:pt>
                <c:pt idx="131">
                  <c:v>26.933087903148362</c:v>
                </c:pt>
                <c:pt idx="132">
                  <c:v>26.67224150431241</c:v>
                </c:pt>
                <c:pt idx="133">
                  <c:v>26.402403397715204</c:v>
                </c:pt>
                <c:pt idx="134">
                  <c:v>26.123164031343606</c:v>
                </c:pt>
                <c:pt idx="135">
                  <c:v>25.834071624502826</c:v>
                </c:pt>
                <c:pt idx="136">
                  <c:v>25.534626109814553</c:v>
                </c:pt>
                <c:pt idx="137">
                  <c:v>25.22427188437814</c:v>
                </c:pt>
                <c:pt idx="138">
                  <c:v>24.902389070709319</c:v>
                </c:pt>
                <c:pt idx="139">
                  <c:v>24.568282894611002</c:v>
                </c:pt>
                <c:pt idx="140">
                  <c:v>24.221170658261599</c:v>
                </c:pt>
                <c:pt idx="141">
                  <c:v>23.860165606495286</c:v>
                </c:pt>
                <c:pt idx="142">
                  <c:v>23.484256727891534</c:v>
                </c:pt>
                <c:pt idx="143">
                  <c:v>23.09228316131788</c:v>
                </c:pt>
                <c:pt idx="144">
                  <c:v>22.682901331166022</c:v>
                </c:pt>
                <c:pt idx="145">
                  <c:v>22.254542109002728</c:v>
                </c:pt>
                <c:pt idx="146">
                  <c:v>21.805354023747952</c:v>
                </c:pt>
                <c:pt idx="147">
                  <c:v>21.33312651642467</c:v>
                </c:pt>
                <c:pt idx="148">
                  <c:v>20.835183915234211</c:v>
                </c:pt>
                <c:pt idx="149">
                  <c:v>20.308235166259919</c:v>
                </c:pt>
                <c:pt idx="150">
                  <c:v>19.748154364425943</c:v>
                </c:pt>
                <c:pt idx="151">
                  <c:v>19.149648540788121</c:v>
                </c:pt>
                <c:pt idx="152">
                  <c:v>18.505732478139805</c:v>
                </c:pt>
                <c:pt idx="153">
                  <c:v>17.80685252991583</c:v>
                </c:pt>
                <c:pt idx="154">
                  <c:v>17.039320849285048</c:v>
                </c:pt>
                <c:pt idx="155">
                  <c:v>16.182250206106232</c:v>
                </c:pt>
                <c:pt idx="156">
                  <c:v>15.200736129887787</c:v>
                </c:pt>
                <c:pt idx="157">
                  <c:v>14.027427007485414</c:v>
                </c:pt>
                <c:pt idx="158">
                  <c:v>12.491746481438099</c:v>
                </c:pt>
                <c:pt idx="159">
                  <c:v>9.3686048657789911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D39-4440-9FF5-395D9AC8DD4F}"/>
            </c:ext>
          </c:extLst>
        </c:ser>
        <c:ser>
          <c:idx val="1"/>
          <c:order val="1"/>
          <c:tx>
            <c:v>lamda 1</c:v>
          </c:tx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Grafik'!$T$8:$T$193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7.9060904709393185</c:v>
                </c:pt>
                <c:pt idx="22">
                  <c:v>4.0635602817299628</c:v>
                </c:pt>
                <c:pt idx="23">
                  <c:v>2.2537824441208727</c:v>
                </c:pt>
                <c:pt idx="24">
                  <c:v>0.88529969041184131</c:v>
                </c:pt>
                <c:pt idx="25">
                  <c:v>-0.24904448873297724</c:v>
                </c:pt>
                <c:pt idx="26">
                  <c:v>-1.2308582193885513</c:v>
                </c:pt>
                <c:pt idx="27">
                  <c:v>-2.1024643101201832</c:v>
                </c:pt>
                <c:pt idx="28">
                  <c:v>-2.8892351174097826</c:v>
                </c:pt>
                <c:pt idx="29">
                  <c:v>-3.6078372735730682</c:v>
                </c:pt>
                <c:pt idx="30">
                  <c:v>-4.2699352385964744</c:v>
                </c:pt>
                <c:pt idx="31">
                  <c:v>-4.8840828205943012</c:v>
                </c:pt>
                <c:pt idx="32">
                  <c:v>-5.4567818653727045</c:v>
                </c:pt>
                <c:pt idx="33">
                  <c:v>-5.9931171357616222</c:v>
                </c:pt>
                <c:pt idx="34">
                  <c:v>-6.4971581764219195</c:v>
                </c:pt>
                <c:pt idx="35">
                  <c:v>-6.9722250073751866</c:v>
                </c:pt>
                <c:pt idx="36">
                  <c:v>-7.4210702066766316</c:v>
                </c:pt>
                <c:pt idx="37">
                  <c:v>-7.8460075086360916</c:v>
                </c:pt>
                <c:pt idx="38">
                  <c:v>-8.249004987328135</c:v>
                </c:pt>
                <c:pt idx="39">
                  <c:v>-8.6317540879416583</c:v>
                </c:pt>
                <c:pt idx="40">
                  <c:v>-8.9957217608415476</c:v>
                </c:pt>
                <c:pt idx="41">
                  <c:v>-9.3421905071802485</c:v>
                </c:pt>
                <c:pt idx="42">
                  <c:v>-9.6722896044415165</c:v>
                </c:pt>
                <c:pt idx="43">
                  <c:v>-9.9870197830683765</c:v>
                </c:pt>
                <c:pt idx="44">
                  <c:v>-10.287272963810437</c:v>
                </c:pt>
                <c:pt idx="45">
                  <c:v>-10.573848216940576</c:v>
                </c:pt>
                <c:pt idx="46">
                  <c:v>-10.847464794437201</c:v>
                </c:pt>
                <c:pt idx="47">
                  <c:v>-11.108772868043275</c:v>
                </c:pt>
                <c:pt idx="48">
                  <c:v>-11.358362450107165</c:v>
                </c:pt>
                <c:pt idx="49">
                  <c:v>-11.596770860904996</c:v>
                </c:pt>
                <c:pt idx="50">
                  <c:v>-11.82448902290173</c:v>
                </c:pt>
                <c:pt idx="51">
                  <c:v>-12.041966800428384</c:v>
                </c:pt>
                <c:pt idx="52">
                  <c:v>-12.249617556582905</c:v>
                </c:pt>
                <c:pt idx="53">
                  <c:v>-12.447822063648459</c:v>
                </c:pt>
                <c:pt idx="54">
                  <c:v>-12.636931876026892</c:v>
                </c:pt>
                <c:pt idx="55">
                  <c:v>-12.81727225352364</c:v>
                </c:pt>
                <c:pt idx="56">
                  <c:v>-12.989144706266359</c:v>
                </c:pt>
                <c:pt idx="57">
                  <c:v>-13.152829219487273</c:v>
                </c:pt>
                <c:pt idx="58">
                  <c:v>-13.308586206039195</c:v>
                </c:pt>
                <c:pt idx="59">
                  <c:v>-13.456658226222771</c:v>
                </c:pt>
                <c:pt idx="60">
                  <c:v>-13.597271507828054</c:v>
                </c:pt>
                <c:pt idx="61">
                  <c:v>-13.730637293888662</c:v>
                </c:pt>
                <c:pt idx="62">
                  <c:v>-13.856953041237659</c:v>
                </c:pt>
                <c:pt idx="63">
                  <c:v>-13.976403489346524</c:v>
                </c:pt>
                <c:pt idx="64">
                  <c:v>-14.089161615949706</c:v>
                </c:pt>
                <c:pt idx="65">
                  <c:v>-14.19538949349942</c:v>
                </c:pt>
                <c:pt idx="66">
                  <c:v>-14.295239058440472</c:v>
                </c:pt>
                <c:pt idx="67">
                  <c:v>-14.388852803585678</c:v>
                </c:pt>
                <c:pt idx="68">
                  <c:v>-14.476364402434001</c:v>
                </c:pt>
                <c:pt idx="69">
                  <c:v>-14.557899273059888</c:v>
                </c:pt>
                <c:pt idx="70">
                  <c:v>-14.633575088177452</c:v>
                </c:pt>
                <c:pt idx="71">
                  <c:v>-14.70350223711057</c:v>
                </c:pt>
                <c:pt idx="72">
                  <c:v>-14.767784244655729</c:v>
                </c:pt>
                <c:pt idx="73">
                  <c:v>-14.826518151188395</c:v>
                </c:pt>
                <c:pt idx="74">
                  <c:v>-14.879794857814147</c:v>
                </c:pt>
                <c:pt idx="75">
                  <c:v>-14.927699439896458</c:v>
                </c:pt>
                <c:pt idx="76">
                  <c:v>-14.970311431880305</c:v>
                </c:pt>
                <c:pt idx="77">
                  <c:v>-15.007705085979865</c:v>
                </c:pt>
                <c:pt idx="78">
                  <c:v>-15.03994960698418</c:v>
                </c:pt>
                <c:pt idx="79">
                  <c:v>-15.067109365167369</c:v>
                </c:pt>
                <c:pt idx="80">
                  <c:v>-15.089244089047952</c:v>
                </c:pt>
                <c:pt idx="81">
                  <c:v>-15.106409039534867</c:v>
                </c:pt>
                <c:pt idx="82">
                  <c:v>-15.11865516680723</c:v>
                </c:pt>
                <c:pt idx="83">
                  <c:v>-15.126029251112243</c:v>
                </c:pt>
                <c:pt idx="84">
                  <c:v>-15.128574028513754</c:v>
                </c:pt>
                <c:pt idx="85">
                  <c:v>-15.126328302491515</c:v>
                </c:pt>
                <c:pt idx="86">
                  <c:v>-15.119327042169232</c:v>
                </c:pt>
                <c:pt idx="87">
                  <c:v>-15.10760146783656</c:v>
                </c:pt>
                <c:pt idx="88">
                  <c:v>-15.091179124331177</c:v>
                </c:pt>
                <c:pt idx="89">
                  <c:v>-15.070083942748738</c:v>
                </c:pt>
                <c:pt idx="90">
                  <c:v>-15.044336290861509</c:v>
                </c:pt>
                <c:pt idx="91">
                  <c:v>-15.013953012541094</c:v>
                </c:pt>
                <c:pt idx="92">
                  <c:v>-14.978947456400988</c:v>
                </c:pt>
                <c:pt idx="93">
                  <c:v>-14.939329493794048</c:v>
                </c:pt>
                <c:pt idx="94">
                  <c:v>-14.895105526225905</c:v>
                </c:pt>
                <c:pt idx="95">
                  <c:v>-14.846278482166042</c:v>
                </c:pt>
                <c:pt idx="96">
                  <c:v>-14.792847803162374</c:v>
                </c:pt>
                <c:pt idx="97">
                  <c:v>-14.734809419086673</c:v>
                </c:pt>
                <c:pt idx="98">
                  <c:v>-14.672155712255403</c:v>
                </c:pt>
                <c:pt idx="99">
                  <c:v>-14.604875470085176</c:v>
                </c:pt>
                <c:pt idx="100">
                  <c:v>-14.532953825852871</c:v>
                </c:pt>
                <c:pt idx="101">
                  <c:v>-14.456372187032287</c:v>
                </c:pt>
                <c:pt idx="102">
                  <c:v>-14.375108150574306</c:v>
                </c:pt>
                <c:pt idx="103">
                  <c:v>-14.289135404384126</c:v>
                </c:pt>
                <c:pt idx="104">
                  <c:v>-14.198423614122873</c:v>
                </c:pt>
                <c:pt idx="105">
                  <c:v>-14.102938294321518</c:v>
                </c:pt>
                <c:pt idx="106">
                  <c:v>-14.002640662639919</c:v>
                </c:pt>
                <c:pt idx="107">
                  <c:v>-13.897487475929097</c:v>
                </c:pt>
                <c:pt idx="108">
                  <c:v>-13.787430846558721</c:v>
                </c:pt>
                <c:pt idx="109">
                  <c:v>-13.672418037247837</c:v>
                </c:pt>
                <c:pt idx="110">
                  <c:v>-13.552391232384139</c:v>
                </c:pt>
                <c:pt idx="111">
                  <c:v>-13.427287283523924</c:v>
                </c:pt>
                <c:pt idx="112">
                  <c:v>-13.297037426432837</c:v>
                </c:pt>
                <c:pt idx="113">
                  <c:v>-13.161566966640862</c:v>
                </c:pt>
                <c:pt idx="114">
                  <c:v>-13.020794930036573</c:v>
                </c:pt>
                <c:pt idx="115">
                  <c:v>-12.874633674509084</c:v>
                </c:pt>
                <c:pt idx="116">
                  <c:v>-12.72298845803499</c:v>
                </c:pt>
                <c:pt idx="117">
                  <c:v>-12.565756957900135</c:v>
                </c:pt>
                <c:pt idx="118">
                  <c:v>-12.402828734904347</c:v>
                </c:pt>
                <c:pt idx="119">
                  <c:v>-12.234084635411818</c:v>
                </c:pt>
                <c:pt idx="120">
                  <c:v>-12.05939612293173</c:v>
                </c:pt>
                <c:pt idx="121">
                  <c:v>-11.87862452951714</c:v>
                </c:pt>
                <c:pt idx="122">
                  <c:v>-11.691620215593275</c:v>
                </c:pt>
                <c:pt idx="123">
                  <c:v>-11.498221624812345</c:v>
                </c:pt>
                <c:pt idx="124">
                  <c:v>-11.298254218096986</c:v>
                </c:pt>
                <c:pt idx="125">
                  <c:v>-11.09152926807991</c:v>
                </c:pt>
                <c:pt idx="126">
                  <c:v>-10.877842491533841</c:v>
                </c:pt>
                <c:pt idx="127">
                  <c:v>-10.656972492954992</c:v>
                </c:pt>
                <c:pt idx="128">
                  <c:v>-10.428678986988871</c:v>
                </c:pt>
                <c:pt idx="129">
                  <c:v>-10.192700760582113</c:v>
                </c:pt>
                <c:pt idx="130">
                  <c:v>-9.9487533272294399</c:v>
                </c:pt>
                <c:pt idx="131">
                  <c:v>-9.6965262149648765</c:v>
                </c:pt>
                <c:pt idx="132">
                  <c:v>-9.4356798161289817</c:v>
                </c:pt>
                <c:pt idx="133">
                  <c:v>-9.1658417095317759</c:v>
                </c:pt>
                <c:pt idx="134">
                  <c:v>-8.8866023431601775</c:v>
                </c:pt>
                <c:pt idx="135">
                  <c:v>-8.5975099363193976</c:v>
                </c:pt>
                <c:pt idx="136">
                  <c:v>-8.2980644216310679</c:v>
                </c:pt>
                <c:pt idx="137">
                  <c:v>-7.9877101961947119</c:v>
                </c:pt>
                <c:pt idx="138">
                  <c:v>-7.6658273825258902</c:v>
                </c:pt>
                <c:pt idx="139">
                  <c:v>-7.3317212064275736</c:v>
                </c:pt>
                <c:pt idx="140">
                  <c:v>-6.9846089700781704</c:v>
                </c:pt>
                <c:pt idx="141">
                  <c:v>-6.6236039183118578</c:v>
                </c:pt>
                <c:pt idx="142">
                  <c:v>-6.2476950397080486</c:v>
                </c:pt>
                <c:pt idx="143">
                  <c:v>-5.8557214731343947</c:v>
                </c:pt>
                <c:pt idx="144">
                  <c:v>-5.4463396429825934</c:v>
                </c:pt>
                <c:pt idx="145">
                  <c:v>-5.0179804208192991</c:v>
                </c:pt>
                <c:pt idx="146">
                  <c:v>-4.5687923355645239</c:v>
                </c:pt>
                <c:pt idx="147">
                  <c:v>-4.0965648282412417</c:v>
                </c:pt>
                <c:pt idx="148">
                  <c:v>-3.5986222270507824</c:v>
                </c:pt>
                <c:pt idx="149">
                  <c:v>-3.0716734780764909</c:v>
                </c:pt>
                <c:pt idx="150">
                  <c:v>-2.5115926762425147</c:v>
                </c:pt>
                <c:pt idx="151">
                  <c:v>-1.9130868526046356</c:v>
                </c:pt>
                <c:pt idx="152">
                  <c:v>-1.2691707899563198</c:v>
                </c:pt>
                <c:pt idx="153">
                  <c:v>-0.57029084173234423</c:v>
                </c:pt>
                <c:pt idx="154">
                  <c:v>0.19724083889838084</c:v>
                </c:pt>
                <c:pt idx="155">
                  <c:v>1.054311482077253</c:v>
                </c:pt>
                <c:pt idx="156">
                  <c:v>2.0358255582956986</c:v>
                </c:pt>
                <c:pt idx="157">
                  <c:v>3.2091346806980141</c:v>
                </c:pt>
                <c:pt idx="158">
                  <c:v>4.7448152067453861</c:v>
                </c:pt>
                <c:pt idx="159">
                  <c:v>7.8679568224044374</c:v>
                </c:pt>
                <c:pt idx="160">
                  <c:v>#N/A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D39-4440-9FF5-395D9AC8DD4F}"/>
            </c:ext>
          </c:extLst>
        </c:ser>
        <c:ser>
          <c:idx val="2"/>
          <c:order val="2"/>
          <c:tx>
            <c:v>lamda 2s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Grafik'!$W$8:$W$193</c:f>
              <c:numCache>
                <c:formatCode>0.00</c:formatCode>
                <c:ptCount val="186"/>
                <c:pt idx="0">
                  <c:v>-40.775759223676779</c:v>
                </c:pt>
                <c:pt idx="1">
                  <c:v>-40.775759223676779</c:v>
                </c:pt>
                <c:pt idx="2">
                  <c:v>-37.852133239795847</c:v>
                </c:pt>
                <c:pt idx="3">
                  <c:v>-35.137252117839402</c:v>
                </c:pt>
                <c:pt idx="4">
                  <c:v>-33.287965645663249</c:v>
                </c:pt>
                <c:pt idx="5">
                  <c:v>-31.807606650574538</c:v>
                </c:pt>
                <c:pt idx="6">
                  <c:v>-30.548230331867313</c:v>
                </c:pt>
                <c:pt idx="7">
                  <c:v>-29.441273344194752</c:v>
                </c:pt>
                <c:pt idx="8">
                  <c:v>-28.448166774034735</c:v>
                </c:pt>
                <c:pt idx="9">
                  <c:v>-27.544604282734305</c:v>
                </c:pt>
                <c:pt idx="10">
                  <c:v>-26.714065419574126</c:v>
                </c:pt>
                <c:pt idx="11">
                  <c:v>-25.944696619434076</c:v>
                </c:pt>
                <c:pt idx="12">
                  <c:v>-25.227638448833243</c:v>
                </c:pt>
                <c:pt idx="13">
                  <c:v>-24.556054621994193</c:v>
                </c:pt>
                <c:pt idx="14">
                  <c:v>-23.9245329995478</c:v>
                </c:pt>
                <c:pt idx="15">
                  <c:v>-23.328697738123449</c:v>
                </c:pt>
                <c:pt idx="16">
                  <c:v>-22.764948048198526</c:v>
                </c:pt>
                <c:pt idx="17">
                  <c:v>-22.230276356189837</c:v>
                </c:pt>
                <c:pt idx="18">
                  <c:v>-21.722138171831329</c:v>
                </c:pt>
                <c:pt idx="19">
                  <c:v>-21.238356715111145</c:v>
                </c:pt>
                <c:pt idx="20">
                  <c:v>-20.777051560617529</c:v>
                </c:pt>
                <c:pt idx="21">
                  <c:v>-20.336584277600835</c:v>
                </c:pt>
                <c:pt idx="22">
                  <c:v>-19.91551635152825</c:v>
                </c:pt>
                <c:pt idx="23">
                  <c:v>-19.512576146669907</c:v>
                </c:pt>
                <c:pt idx="24">
                  <c:v>-19.126632635251624</c:v>
                </c:pt>
                <c:pt idx="25">
                  <c:v>-18.75667426664219</c:v>
                </c:pt>
                <c:pt idx="26">
                  <c:v>-18.401791793699985</c:v>
                </c:pt>
                <c:pt idx="27">
                  <c:v>-18.061164182883388</c:v>
                </c:pt>
                <c:pt idx="28">
                  <c:v>-17.734046954281411</c:v>
                </c:pt>
                <c:pt idx="29">
                  <c:v>-17.419762455875034</c:v>
                </c:pt>
                <c:pt idx="30">
                  <c:v>-17.117691691877685</c:v>
                </c:pt>
                <c:pt idx="31">
                  <c:v>-16.827267410496297</c:v>
                </c:pt>
                <c:pt idx="32">
                  <c:v>-16.547968220472494</c:v>
                </c:pt>
                <c:pt idx="33">
                  <c:v>-16.279313554222721</c:v>
                </c:pt>
                <c:pt idx="34">
                  <c:v>-16.020859332460081</c:v>
                </c:pt>
                <c:pt idx="35">
                  <c:v>-15.772194213787991</c:v>
                </c:pt>
                <c:pt idx="36">
                  <c:v>-15.532936335038682</c:v>
                </c:pt>
                <c:pt idx="37">
                  <c:v>-15.30273046562567</c:v>
                </c:pt>
                <c:pt idx="38">
                  <c:v>-15.081245513022061</c:v>
                </c:pt>
                <c:pt idx="39">
                  <c:v>-14.868172327511806</c:v>
                </c:pt>
                <c:pt idx="40">
                  <c:v>-14.663221763214635</c:v>
                </c:pt>
                <c:pt idx="41">
                  <c:v>-14.466122959534863</c:v>
                </c:pt>
                <c:pt idx="42">
                  <c:v>-14.276621812995907</c:v>
                </c:pt>
                <c:pt idx="43">
                  <c:v>-14.09447961416693</c:v>
                </c:pt>
                <c:pt idx="44">
                  <c:v>-13.919471828290197</c:v>
                </c:pt>
                <c:pt idx="45">
                  <c:v>-13.751387001436719</c:v>
                </c:pt>
                <c:pt idx="46">
                  <c:v>-13.590025776690949</c:v>
                </c:pt>
                <c:pt idx="47">
                  <c:v>-13.435200007093471</c:v>
                </c:pt>
                <c:pt idx="48">
                  <c:v>-13.286731953934517</c:v>
                </c:pt>
                <c:pt idx="49">
                  <c:v>-13.14445356056183</c:v>
                </c:pt>
                <c:pt idx="50">
                  <c:v>-13.008205793188845</c:v>
                </c:pt>
                <c:pt idx="51">
                  <c:v>-12.877838041312836</c:v>
                </c:pt>
                <c:pt idx="52">
                  <c:v>-12.753207571306071</c:v>
                </c:pt>
                <c:pt idx="53">
                  <c:v>-12.634179027558885</c:v>
                </c:pt>
                <c:pt idx="54">
                  <c:v>-12.5206239762511</c:v>
                </c:pt>
                <c:pt idx="55">
                  <c:v>-12.412420487427708</c:v>
                </c:pt>
                <c:pt idx="56">
                  <c:v>-12.309452751571845</c:v>
                </c:pt>
                <c:pt idx="57">
                  <c:v>-12.211610727315461</c:v>
                </c:pt>
                <c:pt idx="58">
                  <c:v>-12.1187898173141</c:v>
                </c:pt>
                <c:pt idx="59">
                  <c:v>-12.030890569651005</c:v>
                </c:pt>
                <c:pt idx="60">
                  <c:v>-11.947818402427702</c:v>
                </c:pt>
                <c:pt idx="61">
                  <c:v>-11.869483349456134</c:v>
                </c:pt>
                <c:pt idx="62">
                  <c:v>-11.795799825191676</c:v>
                </c:pt>
                <c:pt idx="63">
                  <c:v>-11.726686407244388</c:v>
                </c:pt>
                <c:pt idx="64">
                  <c:v>-11.662065634979522</c:v>
                </c:pt>
                <c:pt idx="65">
                  <c:v>-11.601863822872106</c:v>
                </c:pt>
                <c:pt idx="66">
                  <c:v>-11.546010887416504</c:v>
                </c:pt>
                <c:pt idx="67">
                  <c:v>-11.494440186511515</c:v>
                </c:pt>
                <c:pt idx="68">
                  <c:v>-11.447088370349869</c:v>
                </c:pt>
                <c:pt idx="69">
                  <c:v>-11.403895242935077</c:v>
                </c:pt>
                <c:pt idx="70">
                  <c:v>-11.364803633434718</c:v>
                </c:pt>
                <c:pt idx="71">
                  <c:v>-11.32975927665426</c:v>
                </c:pt>
                <c:pt idx="72">
                  <c:v>-11.298710701985348</c:v>
                </c:pt>
                <c:pt idx="73">
                  <c:v>-11.271609130241819</c:v>
                </c:pt>
                <c:pt idx="74">
                  <c:v>-11.248408377853487</c:v>
                </c:pt>
                <c:pt idx="75">
                  <c:v>-11.229064767937055</c:v>
                </c:pt>
                <c:pt idx="76">
                  <c:v>-11.213537047808158</c:v>
                </c:pt>
                <c:pt idx="77">
                  <c:v>-11.201786312540111</c:v>
                </c:pt>
                <c:pt idx="78">
                  <c:v>-11.193775934211661</c:v>
                </c:pt>
                <c:pt idx="79">
                  <c:v>-11.189471496520055</c:v>
                </c:pt>
                <c:pt idx="80">
                  <c:v>-11.188840734466966</c:v>
                </c:pt>
                <c:pt idx="81">
                  <c:v>-11.191853478852623</c:v>
                </c:pt>
                <c:pt idx="82">
                  <c:v>-11.198481605340485</c:v>
                </c:pt>
                <c:pt idx="83">
                  <c:v>-11.208698987878535</c:v>
                </c:pt>
                <c:pt idx="84">
                  <c:v>-11.222481456285164</c:v>
                </c:pt>
                <c:pt idx="85">
                  <c:v>-11.239806757830035</c:v>
                </c:pt>
                <c:pt idx="86">
                  <c:v>-11.260654522657882</c:v>
                </c:pt>
                <c:pt idx="87">
                  <c:v>-11.285006232922957</c:v>
                </c:pt>
                <c:pt idx="88">
                  <c:v>-11.312845195519115</c:v>
                </c:pt>
                <c:pt idx="89">
                  <c:v>-11.344156518305738</c:v>
                </c:pt>
                <c:pt idx="90">
                  <c:v>-11.378927089747478</c:v>
                </c:pt>
                <c:pt idx="91">
                  <c:v>-11.417145561899078</c:v>
                </c:pt>
                <c:pt idx="92">
                  <c:v>-11.4588023366827</c:v>
                </c:pt>
                <c:pt idx="93">
                  <c:v>-11.503889555418539</c:v>
                </c:pt>
                <c:pt idx="94">
                  <c:v>-11.552401091584361</c:v>
                </c:pt>
                <c:pt idx="95">
                  <c:v>-11.604332546793641</c:v>
                </c:pt>
                <c:pt idx="96">
                  <c:v>-11.659681249995032</c:v>
                </c:pt>
                <c:pt idx="97">
                  <c:v>-11.718446259911655</c:v>
                </c:pt>
                <c:pt idx="98">
                  <c:v>-11.78062837075149</c:v>
                </c:pt>
                <c:pt idx="99">
                  <c:v>-11.84623012123626</c:v>
                </c:pt>
                <c:pt idx="100">
                  <c:v>-11.915255807010103</c:v>
                </c:pt>
                <c:pt idx="101">
                  <c:v>-11.987711496505831</c:v>
                </c:pt>
                <c:pt idx="102">
                  <c:v>-12.063605050363211</c:v>
                </c:pt>
                <c:pt idx="103">
                  <c:v>-12.142946144510452</c:v>
                </c:pt>
                <c:pt idx="104">
                  <c:v>-12.225746297038784</c:v>
                </c:pt>
                <c:pt idx="105">
                  <c:v>-12.31201889901995</c:v>
                </c:pt>
                <c:pt idx="106">
                  <c:v>-12.401779249436672</c:v>
                </c:pt>
                <c:pt idx="107">
                  <c:v>-12.49504459441966</c:v>
                </c:pt>
                <c:pt idx="108">
                  <c:v>-12.59183417100847</c:v>
                </c:pt>
                <c:pt idx="109">
                  <c:v>-12.692169255680504</c:v>
                </c:pt>
                <c:pt idx="110">
                  <c:v>-12.7960732179213</c:v>
                </c:pt>
                <c:pt idx="111">
                  <c:v>-12.903571579140914</c:v>
                </c:pt>
                <c:pt idx="112">
                  <c:v>-13.014692077276457</c:v>
                </c:pt>
                <c:pt idx="113">
                  <c:v>-13.12946473745836</c:v>
                </c:pt>
                <c:pt idx="114">
                  <c:v>-13.247921949161382</c:v>
                </c:pt>
                <c:pt idx="115">
                  <c:v>-13.37009855030802</c:v>
                </c:pt>
                <c:pt idx="116">
                  <c:v>-13.496031918843538</c:v>
                </c:pt>
                <c:pt idx="117">
                  <c:v>-13.625762072361667</c:v>
                </c:pt>
                <c:pt idx="118">
                  <c:v>-13.759331776423151</c:v>
                </c:pt>
                <c:pt idx="119">
                  <c:v>-13.896786662283914</c:v>
                </c:pt>
                <c:pt idx="120">
                  <c:v>-14.038175354830189</c:v>
                </c:pt>
                <c:pt idx="121">
                  <c:v>-14.183549611610534</c:v>
                </c:pt>
                <c:pt idx="122">
                  <c:v>-14.332964473958398</c:v>
                </c:pt>
                <c:pt idx="123">
                  <c:v>-14.486478431316236</c:v>
                </c:pt>
                <c:pt idx="124">
                  <c:v>-14.644153600005065</c:v>
                </c:pt>
                <c:pt idx="125">
                  <c:v>-14.806055917834948</c:v>
                </c:pt>
                <c:pt idx="126">
                  <c:v>-14.972255356123675</c:v>
                </c:pt>
                <c:pt idx="127">
                  <c:v>-15.142826150887451</c:v>
                </c:pt>
                <c:pt idx="128">
                  <c:v>-15.317847055193411</c:v>
                </c:pt>
                <c:pt idx="129">
                  <c:v>-15.497401614921095</c:v>
                </c:pt>
                <c:pt idx="130">
                  <c:v>-15.681578470478332</c:v>
                </c:pt>
                <c:pt idx="131">
                  <c:v>-15.870471687360267</c:v>
                </c:pt>
                <c:pt idx="132">
                  <c:v>-16.064181118838004</c:v>
                </c:pt>
                <c:pt idx="133">
                  <c:v>-16.262812804524962</c:v>
                </c:pt>
                <c:pt idx="134">
                  <c:v>-16.466479409107386</c:v>
                </c:pt>
                <c:pt idx="135">
                  <c:v>-16.675300706154214</c:v>
                </c:pt>
                <c:pt idx="136">
                  <c:v>-16.889404112658418</c:v>
                </c:pt>
                <c:pt idx="137">
                  <c:v>-17.108925280830846</c:v>
                </c:pt>
                <c:pt idx="138">
                  <c:v>-17.334008754691911</c:v>
                </c:pt>
                <c:pt idx="139">
                  <c:v>-17.564808700221764</c:v>
                </c:pt>
                <c:pt idx="140">
                  <c:v>-17.801489719278099</c:v>
                </c:pt>
                <c:pt idx="141">
                  <c:v>-18.044227759219286</c:v>
                </c:pt>
                <c:pt idx="142">
                  <c:v>-18.293211132249748</c:v>
                </c:pt>
                <c:pt idx="143">
                  <c:v>-18.548641661009817</c:v>
                </c:pt>
                <c:pt idx="144">
                  <c:v>-18.810735969972278</c:v>
                </c:pt>
                <c:pt idx="145">
                  <c:v>-19.079726945910252</c:v>
                </c:pt>
                <c:pt idx="146">
                  <c:v>-19.355865395238169</c:v>
                </c:pt>
                <c:pt idx="147">
                  <c:v>-19.639421931618777</c:v>
                </c:pt>
                <c:pt idx="148">
                  <c:v>-19.930689134158641</c:v>
                </c:pt>
                <c:pt idx="149">
                  <c:v>-20.229984025162516</c:v>
                </c:pt>
                <c:pt idx="150">
                  <c:v>-20.537650927278737</c:v>
                </c:pt>
                <c:pt idx="151">
                  <c:v>-20.854064773611483</c:v>
                </c:pt>
                <c:pt idx="152">
                  <c:v>-21.179634961900632</c:v>
                </c:pt>
                <c:pt idx="153">
                  <c:v>-21.514809866399272</c:v>
                </c:pt>
                <c:pt idx="154">
                  <c:v>-21.860082150302194</c:v>
                </c:pt>
                <c:pt idx="155">
                  <c:v>-22.215995059836992</c:v>
                </c:pt>
                <c:pt idx="156">
                  <c:v>-22.583149931740586</c:v>
                </c:pt>
                <c:pt idx="157">
                  <c:v>-22.962215213521489</c:v>
                </c:pt>
                <c:pt idx="158">
                  <c:v>-23.353937387500022</c:v>
                </c:pt>
                <c:pt idx="159">
                  <c:v>-23.759154315177955</c:v>
                </c:pt>
                <c:pt idx="160">
                  <c:v>-24.178811693051404</c:v>
                </c:pt>
                <c:pt idx="161">
                  <c:v>-24.613983557436832</c:v>
                </c:pt>
                <c:pt idx="162">
                  <c:v>-25.065898129766154</c:v>
                </c:pt>
                <c:pt idx="163">
                  <c:v>-25.535970811538789</c:v>
                </c:pt>
                <c:pt idx="164">
                  <c:v>-26.0258469114214</c:v>
                </c:pt>
                <c:pt idx="165">
                  <c:v>-26.537457869096691</c:v>
                </c:pt>
                <c:pt idx="166">
                  <c:v>-27.073096595212615</c:v>
                </c:pt>
                <c:pt idx="167">
                  <c:v>-27.635520544205495</c:v>
                </c:pt>
                <c:pt idx="168">
                  <c:v>-28.228096147399388</c:v>
                </c:pt>
                <c:pt idx="169">
                  <c:v>-28.855006943661639</c:v>
                </c:pt>
                <c:pt idx="170">
                  <c:v>-29.521563593896545</c:v>
                </c:pt>
                <c:pt idx="171">
                  <c:v>-30.234684416649738</c:v>
                </c:pt>
                <c:pt idx="172">
                  <c:v>-31.003677566931177</c:v>
                </c:pt>
                <c:pt idx="173">
                  <c:v>-31.841595086369299</c:v>
                </c:pt>
                <c:pt idx="174">
                  <c:v>-32.767772720722753</c:v>
                </c:pt>
                <c:pt idx="175">
                  <c:v>-33.813144915371602</c:v>
                </c:pt>
                <c:pt idx="176">
                  <c:v>-35.033298329869545</c:v>
                </c:pt>
                <c:pt idx="177">
                  <c:v>-36.550219127102629</c:v>
                </c:pt>
                <c:pt idx="178">
                  <c:v>-38.791490652719403</c:v>
                </c:pt>
                <c:pt idx="179">
                  <c:v>-40.972682365584141</c:v>
                </c:pt>
                <c:pt idx="180">
                  <c:v>-40.972682365584141</c:v>
                </c:pt>
                <c:pt idx="181">
                  <c:v>-40.972682365584141</c:v>
                </c:pt>
                <c:pt idx="182">
                  <c:v>-40.972682365584141</c:v>
                </c:pt>
                <c:pt idx="183">
                  <c:v>-40.972682365584141</c:v>
                </c:pt>
                <c:pt idx="184">
                  <c:v>-40.972682365584141</c:v>
                </c:pt>
                <c:pt idx="185">
                  <c:v>-40.972682365584141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D39-4440-9FF5-395D9AC8DD4F}"/>
            </c:ext>
          </c:extLst>
        </c:ser>
        <c:ser>
          <c:idx val="3"/>
          <c:order val="3"/>
          <c:tx>
            <c:v>lamda 2</c:v>
          </c:tx>
          <c:spPr>
            <a:ln w="22225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Grafik'!$V$8:$V$193</c:f>
              <c:numCache>
                <c:formatCode>0.00</c:formatCode>
                <c:ptCount val="186"/>
                <c:pt idx="0">
                  <c:v>-42.69851124109983</c:v>
                </c:pt>
                <c:pt idx="1">
                  <c:v>-42.69851124109983</c:v>
                </c:pt>
                <c:pt idx="2">
                  <c:v>-45.622137224980762</c:v>
                </c:pt>
                <c:pt idx="3">
                  <c:v>-48.337018346937207</c:v>
                </c:pt>
                <c:pt idx="4">
                  <c:v>-50.18630481911336</c:v>
                </c:pt>
                <c:pt idx="5">
                  <c:v>-51.666663814202067</c:v>
                </c:pt>
                <c:pt idx="6">
                  <c:v>-52.926040132909293</c:v>
                </c:pt>
                <c:pt idx="7">
                  <c:v>-54.032997120581854</c:v>
                </c:pt>
                <c:pt idx="8">
                  <c:v>-55.02610369074187</c:v>
                </c:pt>
                <c:pt idx="9">
                  <c:v>-55.929666182042304</c:v>
                </c:pt>
                <c:pt idx="10">
                  <c:v>-56.760205045202476</c:v>
                </c:pt>
                <c:pt idx="11">
                  <c:v>-57.529573845342533</c:v>
                </c:pt>
                <c:pt idx="12">
                  <c:v>-58.246632015943362</c:v>
                </c:pt>
                <c:pt idx="13">
                  <c:v>-58.918215842782416</c:v>
                </c:pt>
                <c:pt idx="14">
                  <c:v>-59.549737465228809</c:v>
                </c:pt>
                <c:pt idx="15">
                  <c:v>-60.145572726653157</c:v>
                </c:pt>
                <c:pt idx="16">
                  <c:v>-60.709322416578075</c:v>
                </c:pt>
                <c:pt idx="17">
                  <c:v>-61.243994108586769</c:v>
                </c:pt>
                <c:pt idx="18">
                  <c:v>-61.752132292945277</c:v>
                </c:pt>
                <c:pt idx="19">
                  <c:v>-62.235913749665457</c:v>
                </c:pt>
                <c:pt idx="20">
                  <c:v>-62.697218904159072</c:v>
                </c:pt>
                <c:pt idx="21">
                  <c:v>-63.137686187175774</c:v>
                </c:pt>
                <c:pt idx="22">
                  <c:v>-63.558754113248355</c:v>
                </c:pt>
                <c:pt idx="23">
                  <c:v>-63.961694318106694</c:v>
                </c:pt>
                <c:pt idx="24">
                  <c:v>-64.347637829524984</c:v>
                </c:pt>
                <c:pt idx="25">
                  <c:v>-64.717596198134416</c:v>
                </c:pt>
                <c:pt idx="26">
                  <c:v>-65.072478671076624</c:v>
                </c:pt>
                <c:pt idx="27">
                  <c:v>-65.413106281893221</c:v>
                </c:pt>
                <c:pt idx="28">
                  <c:v>-65.740223510495198</c:v>
                </c:pt>
                <c:pt idx="29">
                  <c:v>-66.054508008901578</c:v>
                </c:pt>
                <c:pt idx="30">
                  <c:v>-66.356578772898928</c:v>
                </c:pt>
                <c:pt idx="31">
                  <c:v>-66.647003054280304</c:v>
                </c:pt>
                <c:pt idx="32">
                  <c:v>-66.926302244304111</c:v>
                </c:pt>
                <c:pt idx="33">
                  <c:v>-67.194956910553884</c:v>
                </c:pt>
                <c:pt idx="34">
                  <c:v>-67.453411132316518</c:v>
                </c:pt>
                <c:pt idx="35">
                  <c:v>-67.702076250988611</c:v>
                </c:pt>
                <c:pt idx="36">
                  <c:v>-67.941334129737925</c:v>
                </c:pt>
                <c:pt idx="37">
                  <c:v>-68.171539999150937</c:v>
                </c:pt>
                <c:pt idx="38">
                  <c:v>-68.393024951754541</c:v>
                </c:pt>
                <c:pt idx="39">
                  <c:v>-68.606098137264794</c:v>
                </c:pt>
                <c:pt idx="40">
                  <c:v>-68.811048701561973</c:v>
                </c:pt>
                <c:pt idx="41">
                  <c:v>-69.008147505241737</c:v>
                </c:pt>
                <c:pt idx="42">
                  <c:v>-69.197648651780696</c:v>
                </c:pt>
                <c:pt idx="43">
                  <c:v>-69.37979085060968</c:v>
                </c:pt>
                <c:pt idx="44">
                  <c:v>-69.55479863648641</c:v>
                </c:pt>
                <c:pt idx="45">
                  <c:v>-69.722883463339883</c:v>
                </c:pt>
                <c:pt idx="46">
                  <c:v>-69.884244688085658</c:v>
                </c:pt>
                <c:pt idx="47">
                  <c:v>-70.039070457683138</c:v>
                </c:pt>
                <c:pt idx="48">
                  <c:v>-70.187538510842089</c:v>
                </c:pt>
                <c:pt idx="49">
                  <c:v>-70.32981690421478</c:v>
                </c:pt>
                <c:pt idx="50">
                  <c:v>-70.466064671587759</c:v>
                </c:pt>
                <c:pt idx="51">
                  <c:v>-70.596432423463767</c:v>
                </c:pt>
                <c:pt idx="52">
                  <c:v>-70.721062893470531</c:v>
                </c:pt>
                <c:pt idx="53">
                  <c:v>-70.840091437217723</c:v>
                </c:pt>
                <c:pt idx="54">
                  <c:v>-70.953646488525507</c:v>
                </c:pt>
                <c:pt idx="55">
                  <c:v>-71.061849977348899</c:v>
                </c:pt>
                <c:pt idx="56">
                  <c:v>-71.164817713204755</c:v>
                </c:pt>
                <c:pt idx="57">
                  <c:v>-71.262659737461149</c:v>
                </c:pt>
                <c:pt idx="58">
                  <c:v>-71.3554806474625</c:v>
                </c:pt>
                <c:pt idx="59">
                  <c:v>-71.443379895125602</c:v>
                </c:pt>
                <c:pt idx="60">
                  <c:v>-71.526452062348909</c:v>
                </c:pt>
                <c:pt idx="61">
                  <c:v>-71.604787115320477</c:v>
                </c:pt>
                <c:pt idx="62">
                  <c:v>-71.67847063958493</c:v>
                </c:pt>
                <c:pt idx="63">
                  <c:v>-71.747584057532222</c:v>
                </c:pt>
                <c:pt idx="64">
                  <c:v>-71.812204829797082</c:v>
                </c:pt>
                <c:pt idx="65">
                  <c:v>-71.872406641904504</c:v>
                </c:pt>
                <c:pt idx="66">
                  <c:v>-71.928259577360109</c:v>
                </c:pt>
                <c:pt idx="67">
                  <c:v>-71.979830278265098</c:v>
                </c:pt>
                <c:pt idx="68">
                  <c:v>-72.027182094426735</c:v>
                </c:pt>
                <c:pt idx="69">
                  <c:v>-72.07037522184153</c:v>
                </c:pt>
                <c:pt idx="70">
                  <c:v>-72.109466831341891</c:v>
                </c:pt>
                <c:pt idx="71">
                  <c:v>-72.144511188122351</c:v>
                </c:pt>
                <c:pt idx="72">
                  <c:v>-72.175559762791252</c:v>
                </c:pt>
                <c:pt idx="73">
                  <c:v>-72.202661334534781</c:v>
                </c:pt>
                <c:pt idx="74">
                  <c:v>-72.225862086923115</c:v>
                </c:pt>
                <c:pt idx="75">
                  <c:v>-72.245205696839548</c:v>
                </c:pt>
                <c:pt idx="76">
                  <c:v>-72.260733416968449</c:v>
                </c:pt>
                <c:pt idx="77">
                  <c:v>-72.272484152236501</c:v>
                </c:pt>
                <c:pt idx="78">
                  <c:v>-72.280494530564937</c:v>
                </c:pt>
                <c:pt idx="79">
                  <c:v>-72.284798968256553</c:v>
                </c:pt>
                <c:pt idx="80">
                  <c:v>-72.285429730309644</c:v>
                </c:pt>
                <c:pt idx="81">
                  <c:v>-72.282416985923987</c:v>
                </c:pt>
                <c:pt idx="82">
                  <c:v>-72.275788859436119</c:v>
                </c:pt>
                <c:pt idx="83">
                  <c:v>-72.265571476898074</c:v>
                </c:pt>
                <c:pt idx="84">
                  <c:v>-72.251789008491443</c:v>
                </c:pt>
                <c:pt idx="85">
                  <c:v>-72.23446370694657</c:v>
                </c:pt>
                <c:pt idx="86">
                  <c:v>-72.213615942118722</c:v>
                </c:pt>
                <c:pt idx="87">
                  <c:v>-72.189264231853656</c:v>
                </c:pt>
                <c:pt idx="88">
                  <c:v>-72.161425269257492</c:v>
                </c:pt>
                <c:pt idx="89">
                  <c:v>-72.130113946470871</c:v>
                </c:pt>
                <c:pt idx="90">
                  <c:v>-72.095343375029131</c:v>
                </c:pt>
                <c:pt idx="91">
                  <c:v>-72.057124902877533</c:v>
                </c:pt>
                <c:pt idx="92">
                  <c:v>-72.0154681280939</c:v>
                </c:pt>
                <c:pt idx="93">
                  <c:v>-71.97038090935807</c:v>
                </c:pt>
                <c:pt idx="94">
                  <c:v>-71.921869373192237</c:v>
                </c:pt>
                <c:pt idx="95">
                  <c:v>-71.869937917982966</c:v>
                </c:pt>
                <c:pt idx="96">
                  <c:v>-71.814589214781577</c:v>
                </c:pt>
                <c:pt idx="97">
                  <c:v>-71.75582420486495</c:v>
                </c:pt>
                <c:pt idx="98">
                  <c:v>-71.693642094025108</c:v>
                </c:pt>
                <c:pt idx="99">
                  <c:v>-71.628040343540349</c:v>
                </c:pt>
                <c:pt idx="100">
                  <c:v>-71.559014657766497</c:v>
                </c:pt>
                <c:pt idx="101">
                  <c:v>-71.486558968270771</c:v>
                </c:pt>
                <c:pt idx="102">
                  <c:v>-71.410665414413401</c:v>
                </c:pt>
                <c:pt idx="103">
                  <c:v>-71.331324320266148</c:v>
                </c:pt>
                <c:pt idx="104">
                  <c:v>-71.248524167737827</c:v>
                </c:pt>
                <c:pt idx="105">
                  <c:v>-71.162251565756662</c:v>
                </c:pt>
                <c:pt idx="106">
                  <c:v>-71.072491215339937</c:v>
                </c:pt>
                <c:pt idx="107">
                  <c:v>-70.979225870356942</c:v>
                </c:pt>
                <c:pt idx="108">
                  <c:v>-70.882436293768137</c:v>
                </c:pt>
                <c:pt idx="109">
                  <c:v>-70.782101209096098</c:v>
                </c:pt>
                <c:pt idx="110">
                  <c:v>-70.678197246855305</c:v>
                </c:pt>
                <c:pt idx="111">
                  <c:v>-70.570698885635693</c:v>
                </c:pt>
                <c:pt idx="112">
                  <c:v>-70.459578387500144</c:v>
                </c:pt>
                <c:pt idx="113">
                  <c:v>-70.344805727318246</c:v>
                </c:pt>
                <c:pt idx="114">
                  <c:v>-70.226348515615229</c:v>
                </c:pt>
                <c:pt idx="115">
                  <c:v>-70.10417191446858</c:v>
                </c:pt>
                <c:pt idx="116">
                  <c:v>-69.978238545933067</c:v>
                </c:pt>
                <c:pt idx="117">
                  <c:v>-69.848508392414942</c:v>
                </c:pt>
                <c:pt idx="118">
                  <c:v>-69.714938688353456</c:v>
                </c:pt>
                <c:pt idx="119">
                  <c:v>-69.577483802492694</c:v>
                </c:pt>
                <c:pt idx="120">
                  <c:v>-69.436095109946422</c:v>
                </c:pt>
                <c:pt idx="121">
                  <c:v>-69.290720853166064</c:v>
                </c:pt>
                <c:pt idx="122">
                  <c:v>-69.141305990818211</c:v>
                </c:pt>
                <c:pt idx="123">
                  <c:v>-68.987792033460366</c:v>
                </c:pt>
                <c:pt idx="124">
                  <c:v>-68.83011686477154</c:v>
                </c:pt>
                <c:pt idx="125">
                  <c:v>-68.668214546941655</c:v>
                </c:pt>
                <c:pt idx="126">
                  <c:v>-68.502015108652927</c:v>
                </c:pt>
                <c:pt idx="127">
                  <c:v>-68.331444313889151</c:v>
                </c:pt>
                <c:pt idx="128">
                  <c:v>-68.156423409583198</c:v>
                </c:pt>
                <c:pt idx="129">
                  <c:v>-67.976868849855506</c:v>
                </c:pt>
                <c:pt idx="130">
                  <c:v>-67.792691994298266</c:v>
                </c:pt>
                <c:pt idx="131">
                  <c:v>-67.603798777416344</c:v>
                </c:pt>
                <c:pt idx="132">
                  <c:v>-67.410089345938601</c:v>
                </c:pt>
                <c:pt idx="133">
                  <c:v>-67.211457660251639</c:v>
                </c:pt>
                <c:pt idx="134">
                  <c:v>-67.007791055669216</c:v>
                </c:pt>
                <c:pt idx="135">
                  <c:v>-66.798969758622391</c:v>
                </c:pt>
                <c:pt idx="136">
                  <c:v>-66.584866352118183</c:v>
                </c:pt>
                <c:pt idx="137">
                  <c:v>-66.365345183945763</c:v>
                </c:pt>
                <c:pt idx="138">
                  <c:v>-66.140261710084687</c:v>
                </c:pt>
                <c:pt idx="139">
                  <c:v>-65.909461764554848</c:v>
                </c:pt>
                <c:pt idx="140">
                  <c:v>-65.6727807454985</c:v>
                </c:pt>
                <c:pt idx="141">
                  <c:v>-65.430042705557312</c:v>
                </c:pt>
                <c:pt idx="142">
                  <c:v>-65.181059332526857</c:v>
                </c:pt>
                <c:pt idx="143">
                  <c:v>-64.925628803766784</c:v>
                </c:pt>
                <c:pt idx="144">
                  <c:v>-64.663534494804324</c:v>
                </c:pt>
                <c:pt idx="145">
                  <c:v>-64.394543518866357</c:v>
                </c:pt>
                <c:pt idx="146">
                  <c:v>-64.11840506953844</c:v>
                </c:pt>
                <c:pt idx="147">
                  <c:v>-63.834848533157825</c:v>
                </c:pt>
                <c:pt idx="148">
                  <c:v>-63.543581330617961</c:v>
                </c:pt>
                <c:pt idx="149">
                  <c:v>-63.244286439614093</c:v>
                </c:pt>
                <c:pt idx="150">
                  <c:v>-62.936619537497869</c:v>
                </c:pt>
                <c:pt idx="151">
                  <c:v>-62.620205691165125</c:v>
                </c:pt>
                <c:pt idx="152">
                  <c:v>-62.294635502875977</c:v>
                </c:pt>
                <c:pt idx="153">
                  <c:v>-61.959460598377333</c:v>
                </c:pt>
                <c:pt idx="154">
                  <c:v>-61.614188314474411</c:v>
                </c:pt>
                <c:pt idx="155">
                  <c:v>-61.258275404939617</c:v>
                </c:pt>
                <c:pt idx="156">
                  <c:v>-60.891120533036023</c:v>
                </c:pt>
                <c:pt idx="157">
                  <c:v>-60.512055251255113</c:v>
                </c:pt>
                <c:pt idx="158">
                  <c:v>-60.120333077276584</c:v>
                </c:pt>
                <c:pt idx="159">
                  <c:v>-59.71511614959865</c:v>
                </c:pt>
                <c:pt idx="160">
                  <c:v>-59.295458771725201</c:v>
                </c:pt>
                <c:pt idx="161">
                  <c:v>-58.860286907339777</c:v>
                </c:pt>
                <c:pt idx="162">
                  <c:v>-58.408372335010448</c:v>
                </c:pt>
                <c:pt idx="163">
                  <c:v>-57.93829965323782</c:v>
                </c:pt>
                <c:pt idx="164">
                  <c:v>-57.448423553355205</c:v>
                </c:pt>
                <c:pt idx="165">
                  <c:v>-56.93681259567991</c:v>
                </c:pt>
                <c:pt idx="166">
                  <c:v>-56.401173869563991</c:v>
                </c:pt>
                <c:pt idx="167">
                  <c:v>-55.838749920571111</c:v>
                </c:pt>
                <c:pt idx="168">
                  <c:v>-55.246174317377218</c:v>
                </c:pt>
                <c:pt idx="169">
                  <c:v>-54.619263521114966</c:v>
                </c:pt>
                <c:pt idx="170">
                  <c:v>-53.952706870880057</c:v>
                </c:pt>
                <c:pt idx="171">
                  <c:v>-53.239586048126867</c:v>
                </c:pt>
                <c:pt idx="172">
                  <c:v>-52.470592897845428</c:v>
                </c:pt>
                <c:pt idx="173">
                  <c:v>-51.632675378407306</c:v>
                </c:pt>
                <c:pt idx="174">
                  <c:v>-50.706497744053856</c:v>
                </c:pt>
                <c:pt idx="175">
                  <c:v>-49.661125549405007</c:v>
                </c:pt>
                <c:pt idx="176">
                  <c:v>-48.440972134907057</c:v>
                </c:pt>
                <c:pt idx="177">
                  <c:v>-46.92405133767398</c:v>
                </c:pt>
                <c:pt idx="178">
                  <c:v>-44.682779812057198</c:v>
                </c:pt>
                <c:pt idx="179">
                  <c:v>-42.501588099192467</c:v>
                </c:pt>
                <c:pt idx="180">
                  <c:v>-42.501588099192467</c:v>
                </c:pt>
                <c:pt idx="181">
                  <c:v>-42.501588099192467</c:v>
                </c:pt>
                <c:pt idx="182">
                  <c:v>-42.501588099192467</c:v>
                </c:pt>
                <c:pt idx="183">
                  <c:v>-42.501588099192467</c:v>
                </c:pt>
                <c:pt idx="184">
                  <c:v>-42.501588099192467</c:v>
                </c:pt>
                <c:pt idx="185">
                  <c:v>-42.501588099192467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D39-4440-9FF5-395D9AC8DD4F}"/>
            </c:ext>
          </c:extLst>
        </c:ser>
        <c:ser>
          <c:idx val="4"/>
          <c:order val="4"/>
          <c:tx>
            <c:v>pos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9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266B-984A-9427-8888F6823915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1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1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66B-984A-9427-8888F682391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'globale Grafik'!$X$8:$X$194</c:f>
              <c:numCache>
                <c:formatCode>0.00</c:formatCode>
                <c:ptCount val="187"/>
                <c:pt idx="186">
                  <c:v>-12.649637282226893</c:v>
                </c:pt>
              </c:numCache>
            </c:numRef>
          </c:xVal>
          <c:yVal>
            <c:numRef>
              <c:f>'globale Grafik'!$M$8:$M$194</c:f>
              <c:numCache>
                <c:formatCode>0.00\°;[Red]0.00\°</c:formatCode>
                <c:ptCount val="187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  <c:pt idx="186">
                  <c:v>34.765106842149578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66B-984A-9427-8888F6823915}"/>
            </c:ext>
          </c:extLst>
        </c:ser>
        <c:ser>
          <c:idx val="5"/>
          <c:order val="5"/>
          <c:tx>
            <c:v>sun</c:v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16B5-A94A-9BEA-36F714C62772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F00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16B5-A94A-9BEA-36F714C62772}"/>
              </c:ext>
            </c:extLst>
          </c:dPt>
          <c:xVal>
            <c:numRef>
              <c:f>'globale Grafik'!$Y$8:$Y$196</c:f>
              <c:numCache>
                <c:formatCode>0.00</c:formatCode>
                <c:ptCount val="189"/>
                <c:pt idx="187" formatCode="0.00_ ;[Red]\-0.00\ ">
                  <c:v>8.6182808440917142</c:v>
                </c:pt>
                <c:pt idx="188" formatCode="0.00_ ;[Red]\-0.00\ ">
                  <c:v>-41.737135232388304</c:v>
                </c:pt>
              </c:numCache>
            </c:numRef>
          </c:xVal>
          <c:yVal>
            <c:numRef>
              <c:f>'globale Grafik'!$M$8:$M$196</c:f>
              <c:numCache>
                <c:formatCode>0.00\°;[Red]0.00\°</c:formatCode>
                <c:ptCount val="189"/>
                <c:pt idx="0">
                  <c:v>50.943850542952134</c:v>
                </c:pt>
                <c:pt idx="1">
                  <c:v>50.943850542952134</c:v>
                </c:pt>
                <c:pt idx="2">
                  <c:v>50.789646730301939</c:v>
                </c:pt>
                <c:pt idx="3">
                  <c:v>50.4746213925606</c:v>
                </c:pt>
                <c:pt idx="4">
                  <c:v>50.159596054819261</c:v>
                </c:pt>
                <c:pt idx="5">
                  <c:v>49.844570717077922</c:v>
                </c:pt>
                <c:pt idx="6">
                  <c:v>49.529545379336582</c:v>
                </c:pt>
                <c:pt idx="7">
                  <c:v>49.214520041595243</c:v>
                </c:pt>
                <c:pt idx="8">
                  <c:v>48.899494703853904</c:v>
                </c:pt>
                <c:pt idx="9">
                  <c:v>48.584469366112565</c:v>
                </c:pt>
                <c:pt idx="10">
                  <c:v>48.269444028371225</c:v>
                </c:pt>
                <c:pt idx="11">
                  <c:v>47.954418690629886</c:v>
                </c:pt>
                <c:pt idx="12">
                  <c:v>47.639393352888547</c:v>
                </c:pt>
                <c:pt idx="13">
                  <c:v>47.324368015147208</c:v>
                </c:pt>
                <c:pt idx="14">
                  <c:v>47.009342677405868</c:v>
                </c:pt>
                <c:pt idx="15">
                  <c:v>46.694317339664529</c:v>
                </c:pt>
                <c:pt idx="16">
                  <c:v>46.37929200192319</c:v>
                </c:pt>
                <c:pt idx="17">
                  <c:v>46.064266664181851</c:v>
                </c:pt>
                <c:pt idx="18">
                  <c:v>45.749241326440512</c:v>
                </c:pt>
                <c:pt idx="19">
                  <c:v>45.434215988699172</c:v>
                </c:pt>
                <c:pt idx="20">
                  <c:v>45.119190650957833</c:v>
                </c:pt>
                <c:pt idx="21">
                  <c:v>44.804165313216494</c:v>
                </c:pt>
                <c:pt idx="22">
                  <c:v>44.489139975475155</c:v>
                </c:pt>
                <c:pt idx="23">
                  <c:v>44.174114637733815</c:v>
                </c:pt>
                <c:pt idx="24">
                  <c:v>43.859089299992476</c:v>
                </c:pt>
                <c:pt idx="25">
                  <c:v>43.544063962251137</c:v>
                </c:pt>
                <c:pt idx="26">
                  <c:v>43.229038624509798</c:v>
                </c:pt>
                <c:pt idx="27">
                  <c:v>42.914013286768458</c:v>
                </c:pt>
                <c:pt idx="28">
                  <c:v>42.598987949027119</c:v>
                </c:pt>
                <c:pt idx="29">
                  <c:v>42.28396261128578</c:v>
                </c:pt>
                <c:pt idx="30">
                  <c:v>41.968937273544441</c:v>
                </c:pt>
                <c:pt idx="31">
                  <c:v>41.653911935803102</c:v>
                </c:pt>
                <c:pt idx="32">
                  <c:v>41.338886598061762</c:v>
                </c:pt>
                <c:pt idx="33">
                  <c:v>41.023861260320423</c:v>
                </c:pt>
                <c:pt idx="34">
                  <c:v>40.708835922579084</c:v>
                </c:pt>
                <c:pt idx="35">
                  <c:v>40.393810584837745</c:v>
                </c:pt>
                <c:pt idx="36">
                  <c:v>40.078785247096405</c:v>
                </c:pt>
                <c:pt idx="37">
                  <c:v>39.763759909355066</c:v>
                </c:pt>
                <c:pt idx="38">
                  <c:v>39.448734571613727</c:v>
                </c:pt>
                <c:pt idx="39">
                  <c:v>39.133709233872388</c:v>
                </c:pt>
                <c:pt idx="40">
                  <c:v>38.818683896131049</c:v>
                </c:pt>
                <c:pt idx="41">
                  <c:v>38.503658558389709</c:v>
                </c:pt>
                <c:pt idx="42">
                  <c:v>38.18863322064837</c:v>
                </c:pt>
                <c:pt idx="43">
                  <c:v>37.873607882907031</c:v>
                </c:pt>
                <c:pt idx="44">
                  <c:v>37.558582545165692</c:v>
                </c:pt>
                <c:pt idx="45">
                  <c:v>37.243557207424352</c:v>
                </c:pt>
                <c:pt idx="46">
                  <c:v>36.928531869683013</c:v>
                </c:pt>
                <c:pt idx="47">
                  <c:v>36.613506531941674</c:v>
                </c:pt>
                <c:pt idx="48">
                  <c:v>36.298481194200335</c:v>
                </c:pt>
                <c:pt idx="49">
                  <c:v>35.983455856458995</c:v>
                </c:pt>
                <c:pt idx="50">
                  <c:v>35.668430518717656</c:v>
                </c:pt>
                <c:pt idx="51">
                  <c:v>35.353405180976317</c:v>
                </c:pt>
                <c:pt idx="52">
                  <c:v>35.038379843234978</c:v>
                </c:pt>
                <c:pt idx="53">
                  <c:v>34.723354505493639</c:v>
                </c:pt>
                <c:pt idx="54">
                  <c:v>34.408329167752299</c:v>
                </c:pt>
                <c:pt idx="55">
                  <c:v>34.09330383001096</c:v>
                </c:pt>
                <c:pt idx="56">
                  <c:v>33.778278492269621</c:v>
                </c:pt>
                <c:pt idx="57">
                  <c:v>33.463253154528282</c:v>
                </c:pt>
                <c:pt idx="58">
                  <c:v>33.148227816786942</c:v>
                </c:pt>
                <c:pt idx="59">
                  <c:v>32.833202479045603</c:v>
                </c:pt>
                <c:pt idx="60">
                  <c:v>32.518177141304264</c:v>
                </c:pt>
                <c:pt idx="61">
                  <c:v>32.203151803562925</c:v>
                </c:pt>
                <c:pt idx="62">
                  <c:v>31.888126465821589</c:v>
                </c:pt>
                <c:pt idx="63">
                  <c:v>31.573101128080253</c:v>
                </c:pt>
                <c:pt idx="64">
                  <c:v>31.258075790338918</c:v>
                </c:pt>
                <c:pt idx="65">
                  <c:v>30.943050452597582</c:v>
                </c:pt>
                <c:pt idx="66">
                  <c:v>30.628025114856246</c:v>
                </c:pt>
                <c:pt idx="67">
                  <c:v>30.312999777114911</c:v>
                </c:pt>
                <c:pt idx="68">
                  <c:v>29.997974439373575</c:v>
                </c:pt>
                <c:pt idx="69">
                  <c:v>29.682949101632239</c:v>
                </c:pt>
                <c:pt idx="70">
                  <c:v>29.367923763890904</c:v>
                </c:pt>
                <c:pt idx="71">
                  <c:v>29.052898426149568</c:v>
                </c:pt>
                <c:pt idx="72">
                  <c:v>28.737873088408232</c:v>
                </c:pt>
                <c:pt idx="73">
                  <c:v>28.422847750666897</c:v>
                </c:pt>
                <c:pt idx="74">
                  <c:v>28.107822412925561</c:v>
                </c:pt>
                <c:pt idx="75">
                  <c:v>27.792797075184225</c:v>
                </c:pt>
                <c:pt idx="76">
                  <c:v>27.47777173744289</c:v>
                </c:pt>
                <c:pt idx="77">
                  <c:v>27.162746399701554</c:v>
                </c:pt>
                <c:pt idx="78">
                  <c:v>26.847721061960218</c:v>
                </c:pt>
                <c:pt idx="79">
                  <c:v>26.532695724218883</c:v>
                </c:pt>
                <c:pt idx="80">
                  <c:v>26.217670386477547</c:v>
                </c:pt>
                <c:pt idx="81">
                  <c:v>25.902645048736211</c:v>
                </c:pt>
                <c:pt idx="82">
                  <c:v>25.587619710994876</c:v>
                </c:pt>
                <c:pt idx="83">
                  <c:v>25.27259437325354</c:v>
                </c:pt>
                <c:pt idx="84">
                  <c:v>24.957569035512204</c:v>
                </c:pt>
                <c:pt idx="85">
                  <c:v>24.642543697770869</c:v>
                </c:pt>
                <c:pt idx="86">
                  <c:v>24.327518360029533</c:v>
                </c:pt>
                <c:pt idx="87">
                  <c:v>24.012493022288197</c:v>
                </c:pt>
                <c:pt idx="88">
                  <c:v>23.697467684546861</c:v>
                </c:pt>
                <c:pt idx="89">
                  <c:v>23.382442346805526</c:v>
                </c:pt>
                <c:pt idx="90">
                  <c:v>23.06741700906419</c:v>
                </c:pt>
                <c:pt idx="91">
                  <c:v>22.752391671322854</c:v>
                </c:pt>
                <c:pt idx="92">
                  <c:v>22.437366333581519</c:v>
                </c:pt>
                <c:pt idx="93">
                  <c:v>22.122340995840183</c:v>
                </c:pt>
                <c:pt idx="94">
                  <c:v>21.807315658098847</c:v>
                </c:pt>
                <c:pt idx="95">
                  <c:v>21.492290320357512</c:v>
                </c:pt>
                <c:pt idx="96">
                  <c:v>21.177264982616176</c:v>
                </c:pt>
                <c:pt idx="97">
                  <c:v>20.86223964487484</c:v>
                </c:pt>
                <c:pt idx="98">
                  <c:v>20.547214307133505</c:v>
                </c:pt>
                <c:pt idx="99">
                  <c:v>20.232188969392169</c:v>
                </c:pt>
                <c:pt idx="100">
                  <c:v>19.917163631650833</c:v>
                </c:pt>
                <c:pt idx="101">
                  <c:v>19.602138293909498</c:v>
                </c:pt>
                <c:pt idx="102">
                  <c:v>19.287112956168162</c:v>
                </c:pt>
                <c:pt idx="103">
                  <c:v>18.972087618426826</c:v>
                </c:pt>
                <c:pt idx="104">
                  <c:v>18.657062280685491</c:v>
                </c:pt>
                <c:pt idx="105">
                  <c:v>18.342036942944155</c:v>
                </c:pt>
                <c:pt idx="106">
                  <c:v>18.027011605202819</c:v>
                </c:pt>
                <c:pt idx="107">
                  <c:v>17.711986267461484</c:v>
                </c:pt>
                <c:pt idx="108">
                  <c:v>17.396960929720148</c:v>
                </c:pt>
                <c:pt idx="109">
                  <c:v>17.081935591978812</c:v>
                </c:pt>
                <c:pt idx="110">
                  <c:v>16.766910254237477</c:v>
                </c:pt>
                <c:pt idx="111">
                  <c:v>16.451884916496141</c:v>
                </c:pt>
                <c:pt idx="112">
                  <c:v>16.136859578754805</c:v>
                </c:pt>
                <c:pt idx="113">
                  <c:v>15.821834241013468</c:v>
                </c:pt>
                <c:pt idx="114">
                  <c:v>15.50680890327213</c:v>
                </c:pt>
                <c:pt idx="115">
                  <c:v>15.191783565530793</c:v>
                </c:pt>
                <c:pt idx="116">
                  <c:v>14.876758227789455</c:v>
                </c:pt>
                <c:pt idx="117">
                  <c:v>14.561732890048118</c:v>
                </c:pt>
                <c:pt idx="118">
                  <c:v>14.246707552306781</c:v>
                </c:pt>
                <c:pt idx="119">
                  <c:v>13.931682214565443</c:v>
                </c:pt>
                <c:pt idx="120">
                  <c:v>13.616656876824106</c:v>
                </c:pt>
                <c:pt idx="121">
                  <c:v>13.301631539082768</c:v>
                </c:pt>
                <c:pt idx="122">
                  <c:v>12.986606201341431</c:v>
                </c:pt>
                <c:pt idx="123">
                  <c:v>12.671580863600093</c:v>
                </c:pt>
                <c:pt idx="124">
                  <c:v>12.356555525858756</c:v>
                </c:pt>
                <c:pt idx="125">
                  <c:v>12.041530188117418</c:v>
                </c:pt>
                <c:pt idx="126">
                  <c:v>11.726504850376081</c:v>
                </c:pt>
                <c:pt idx="127">
                  <c:v>11.411479512634743</c:v>
                </c:pt>
                <c:pt idx="128">
                  <c:v>11.096454174893406</c:v>
                </c:pt>
                <c:pt idx="129">
                  <c:v>10.781428837152069</c:v>
                </c:pt>
                <c:pt idx="130">
                  <c:v>10.466403499410731</c:v>
                </c:pt>
                <c:pt idx="131">
                  <c:v>10.151378161669394</c:v>
                </c:pt>
                <c:pt idx="132">
                  <c:v>9.8363528239280562</c:v>
                </c:pt>
                <c:pt idx="133">
                  <c:v>9.5213274861867188</c:v>
                </c:pt>
                <c:pt idx="134">
                  <c:v>9.2063021484453813</c:v>
                </c:pt>
                <c:pt idx="135">
                  <c:v>8.8912768107040439</c:v>
                </c:pt>
                <c:pt idx="136">
                  <c:v>8.5762514729627064</c:v>
                </c:pt>
                <c:pt idx="137">
                  <c:v>8.2612261352213689</c:v>
                </c:pt>
                <c:pt idx="138">
                  <c:v>7.9462007974800315</c:v>
                </c:pt>
                <c:pt idx="139">
                  <c:v>7.631175459738694</c:v>
                </c:pt>
                <c:pt idx="140">
                  <c:v>7.3161501219973566</c:v>
                </c:pt>
                <c:pt idx="141">
                  <c:v>7.0011247842560191</c:v>
                </c:pt>
                <c:pt idx="142">
                  <c:v>6.6860994465146817</c:v>
                </c:pt>
                <c:pt idx="143">
                  <c:v>6.3710741087733442</c:v>
                </c:pt>
                <c:pt idx="144">
                  <c:v>6.0560487710320068</c:v>
                </c:pt>
                <c:pt idx="145">
                  <c:v>5.7410234332906693</c:v>
                </c:pt>
                <c:pt idx="146">
                  <c:v>5.4259980955493319</c:v>
                </c:pt>
                <c:pt idx="147">
                  <c:v>5.1109727578079944</c:v>
                </c:pt>
                <c:pt idx="148">
                  <c:v>4.795947420066657</c:v>
                </c:pt>
                <c:pt idx="149">
                  <c:v>4.4809220823253195</c:v>
                </c:pt>
                <c:pt idx="150">
                  <c:v>4.1658967445839821</c:v>
                </c:pt>
                <c:pt idx="151">
                  <c:v>3.8508714068426446</c:v>
                </c:pt>
                <c:pt idx="152">
                  <c:v>3.5358460691013072</c:v>
                </c:pt>
                <c:pt idx="153">
                  <c:v>3.2208207313599697</c:v>
                </c:pt>
                <c:pt idx="154">
                  <c:v>2.9057953936186323</c:v>
                </c:pt>
                <c:pt idx="155">
                  <c:v>2.5907700558772948</c:v>
                </c:pt>
                <c:pt idx="156">
                  <c:v>2.2757447181359574</c:v>
                </c:pt>
                <c:pt idx="157">
                  <c:v>1.9607193803946199</c:v>
                </c:pt>
                <c:pt idx="158">
                  <c:v>1.6456940426532825</c:v>
                </c:pt>
                <c:pt idx="159">
                  <c:v>1.330668704911945</c:v>
                </c:pt>
                <c:pt idx="160">
                  <c:v>1.0156433671706075</c:v>
                </c:pt>
                <c:pt idx="161">
                  <c:v>0.70061802942927009</c:v>
                </c:pt>
                <c:pt idx="162">
                  <c:v>0.3855926916879327</c:v>
                </c:pt>
                <c:pt idx="163">
                  <c:v>7.0567353946595301E-2</c:v>
                </c:pt>
                <c:pt idx="164">
                  <c:v>-0.2444579837947421</c:v>
                </c:pt>
                <c:pt idx="165">
                  <c:v>-0.55948332153607949</c:v>
                </c:pt>
                <c:pt idx="166">
                  <c:v>-0.87450865927741694</c:v>
                </c:pt>
                <c:pt idx="167">
                  <c:v>-1.1895339970187544</c:v>
                </c:pt>
                <c:pt idx="168">
                  <c:v>-1.5045593347600918</c:v>
                </c:pt>
                <c:pt idx="169">
                  <c:v>-1.8195846725014293</c:v>
                </c:pt>
                <c:pt idx="170">
                  <c:v>-2.1346100102427665</c:v>
                </c:pt>
                <c:pt idx="171">
                  <c:v>-2.449635347984104</c:v>
                </c:pt>
                <c:pt idx="172">
                  <c:v>-2.7646606857254414</c:v>
                </c:pt>
                <c:pt idx="173">
                  <c:v>-3.0796860234667789</c:v>
                </c:pt>
                <c:pt idx="174">
                  <c:v>-3.3947113612081163</c:v>
                </c:pt>
                <c:pt idx="175">
                  <c:v>-3.7097366989494538</c:v>
                </c:pt>
                <c:pt idx="176">
                  <c:v>-4.0247620366907908</c:v>
                </c:pt>
                <c:pt idx="177">
                  <c:v>-4.3397873744321283</c:v>
                </c:pt>
                <c:pt idx="178">
                  <c:v>-4.6548127121734657</c:v>
                </c:pt>
                <c:pt idx="179">
                  <c:v>-4.793629980669051</c:v>
                </c:pt>
                <c:pt idx="180">
                  <c:v>-4.793629980669051</c:v>
                </c:pt>
                <c:pt idx="181">
                  <c:v>-4.793629980669051</c:v>
                </c:pt>
                <c:pt idx="182">
                  <c:v>-4.793629980669051</c:v>
                </c:pt>
                <c:pt idx="183">
                  <c:v>-4.793629980669051</c:v>
                </c:pt>
                <c:pt idx="184">
                  <c:v>-4.793629980669051</c:v>
                </c:pt>
                <c:pt idx="185">
                  <c:v>-4.793629980669051</c:v>
                </c:pt>
                <c:pt idx="186">
                  <c:v>34.765106842149578</c:v>
                </c:pt>
                <c:pt idx="187" formatCode="0.00_ ;[Red]\-0.00\ ">
                  <c:v>23.065217009064256</c:v>
                </c:pt>
                <c:pt idx="188" formatCode="0.00_ ;[Red]\-0.00\ ">
                  <c:v>23.075110281141541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6B5-A94A-9BEA-36F714C627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90"/>
        <c:minorUnit val="10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38</xdr:row>
      <xdr:rowOff>25400</xdr:rowOff>
    </xdr:from>
    <xdr:to>
      <xdr:col>14</xdr:col>
      <xdr:colOff>0</xdr:colOff>
      <xdr:row>64</xdr:row>
      <xdr:rowOff>190500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A63F015-7B30-BE48-A546-2D9B03B666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165100</xdr:colOff>
      <xdr:row>38</xdr:row>
      <xdr:rowOff>12700</xdr:rowOff>
    </xdr:from>
    <xdr:to>
      <xdr:col>22</xdr:col>
      <xdr:colOff>12700</xdr:colOff>
      <xdr:row>65</xdr:row>
      <xdr:rowOff>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AE6A0E68-3AA7-0440-91E6-96E74C4464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881082" y="447741"/>
          <a:ext cx="1434787" cy="4905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0.91289</cdr:x>
      <cdr:y>0.44653</cdr:y>
    </cdr:from>
    <cdr:to>
      <cdr:x>0.96736</cdr:x>
      <cdr:y>0.51066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10005352" y="2432846"/>
          <a:ext cx="596997" cy="349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0.47654</cdr:x>
      <cdr:y>0.03727</cdr:y>
    </cdr:from>
    <cdr:to>
      <cdr:x>0.5753</cdr:x>
      <cdr:y>0.08504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5222954" y="203069"/>
          <a:ext cx="1082420" cy="2602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0.04877</cdr:x>
      <cdr:y>0.43675</cdr:y>
    </cdr:from>
    <cdr:to>
      <cdr:x>0.14754</cdr:x>
      <cdr:y>0.48452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534497" y="2379545"/>
          <a:ext cx="1082529" cy="2602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0.48218</cdr:x>
      <cdr:y>0.90502</cdr:y>
    </cdr:from>
    <cdr:to>
      <cdr:x>0.58094</cdr:x>
      <cdr:y>0.96227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5284687" y="4930815"/>
          <a:ext cx="1082419" cy="3119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0.15031</cdr:x>
      <cdr:y>0.4456</cdr:y>
    </cdr:from>
    <cdr:to>
      <cdr:x>0.32753</cdr:x>
      <cdr:y>0.48264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943022" y="2263648"/>
          <a:ext cx="1111843" cy="1881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Äquator</a:t>
          </a:r>
        </a:p>
      </cdr:txBody>
    </cdr:sp>
  </cdr:relSizeAnchor>
  <cdr:relSizeAnchor xmlns:cdr="http://schemas.openxmlformats.org/drawingml/2006/chartDrawing">
    <cdr:from>
      <cdr:x>0.04788</cdr:x>
      <cdr:y>0.50897</cdr:y>
    </cdr:from>
    <cdr:to>
      <cdr:x>0.95464</cdr:x>
      <cdr:y>0.50897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524742" y="2773027"/>
          <a:ext cx="9938181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0.49929</cdr:x>
      <cdr:y>0.86687</cdr:y>
    </cdr:from>
    <cdr:to>
      <cdr:x>0.59805</cdr:x>
      <cdr:y>0.92658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739331" y="4755973"/>
          <a:ext cx="541837" cy="3275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0.49071</cdr:x>
      <cdr:y>0.03082</cdr:y>
    </cdr:from>
    <cdr:to>
      <cdr:x>0.58947</cdr:x>
      <cdr:y>0.09054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692258" y="169109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6</xdr:row>
      <xdr:rowOff>0</xdr:rowOff>
    </xdr:from>
    <xdr:to>
      <xdr:col>8</xdr:col>
      <xdr:colOff>0</xdr:colOff>
      <xdr:row>33</xdr:row>
      <xdr:rowOff>12700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B4F5AAF-3A85-3C4E-A6E4-FED0AF842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0.49929</cdr:x>
      <cdr:y>0.86687</cdr:y>
    </cdr:from>
    <cdr:to>
      <cdr:x>0.59805</cdr:x>
      <cdr:y>0.92658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739331" y="4755973"/>
          <a:ext cx="541837" cy="3275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0.49071</cdr:x>
      <cdr:y>0.03082</cdr:y>
    </cdr:from>
    <cdr:to>
      <cdr:x>0.58947</cdr:x>
      <cdr:y>0.09054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692258" y="169109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215900</xdr:colOff>
      <xdr:row>2</xdr:row>
      <xdr:rowOff>127000</xdr:rowOff>
    </xdr:from>
    <xdr:to>
      <xdr:col>10</xdr:col>
      <xdr:colOff>723900</xdr:colOff>
      <xdr:row>27</xdr:row>
      <xdr:rowOff>101600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1BCAB90-EC4B-6848-996B-A9004E778B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431863" y="446462"/>
          <a:ext cx="703262" cy="4890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0.88851</cdr:x>
      <cdr:y>0.42974</cdr:y>
    </cdr:from>
    <cdr:to>
      <cdr:x>0.98727</cdr:x>
      <cdr:y>0.47751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176667" y="2226754"/>
          <a:ext cx="797705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0.49355</cdr:x>
      <cdr:y>0.03261</cdr:y>
    </cdr:from>
    <cdr:to>
      <cdr:x>0.59231</cdr:x>
      <cdr:y>0.08038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099303" y="168972"/>
          <a:ext cx="820281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0.09205</cdr:x>
      <cdr:y>0.42963</cdr:y>
    </cdr:from>
    <cdr:to>
      <cdr:x>0.19081</cdr:x>
      <cdr:y>0.4774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43469" y="2226184"/>
          <a:ext cx="797704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0.50281</cdr:x>
      <cdr:y>0.89102</cdr:y>
    </cdr:from>
    <cdr:to>
      <cdr:x>0.60157</cdr:x>
      <cdr:y>0.94827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4176275" y="4616923"/>
          <a:ext cx="820281" cy="296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0.23938</cdr:x>
      <cdr:y>0.4156</cdr:y>
    </cdr:from>
    <cdr:to>
      <cdr:x>0.4166</cdr:x>
      <cdr:y>0.45264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1289029" y="1338884"/>
          <a:ext cx="954295" cy="119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Äquator</a:t>
          </a:r>
        </a:p>
      </cdr:txBody>
    </cdr:sp>
  </cdr:relSizeAnchor>
  <cdr:relSizeAnchor xmlns:cdr="http://schemas.openxmlformats.org/drawingml/2006/chartDrawing">
    <cdr:from>
      <cdr:x>0.09123</cdr:x>
      <cdr:y>0.4995</cdr:y>
    </cdr:from>
    <cdr:to>
      <cdr:x>0.94938</cdr:x>
      <cdr:y>0.4995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757707" y="2588209"/>
          <a:ext cx="7127622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811C1-6476-9748-8E8F-8F37BC682E30}">
  <dimension ref="A1:AG80"/>
  <sheetViews>
    <sheetView showGridLines="0" showRowColHeaders="0" tabSelected="1" zoomScaleNormal="100" workbookViewId="0">
      <selection activeCell="G20" sqref="G20:H20"/>
    </sheetView>
  </sheetViews>
  <sheetFormatPr baseColWidth="10" defaultRowHeight="16"/>
  <cols>
    <col min="1" max="1" width="4.33203125" customWidth="1"/>
    <col min="2" max="2" width="25.33203125" customWidth="1"/>
    <col min="3" max="4" width="7.83203125" customWidth="1"/>
    <col min="5" max="5" width="4.33203125" customWidth="1"/>
    <col min="6" max="8" width="7.83203125" customWidth="1"/>
    <col min="9" max="9" width="4.33203125" customWidth="1"/>
    <col min="10" max="15" width="11.83203125" customWidth="1"/>
    <col min="16" max="16" width="4.33203125" customWidth="1"/>
    <col min="19" max="19" width="4.33203125" customWidth="1"/>
    <col min="20" max="22" width="11.83203125" customWidth="1"/>
    <col min="23" max="23" width="10.83203125" customWidth="1"/>
    <col min="24" max="24" width="4.33203125" customWidth="1"/>
    <col min="25" max="25" width="12.1640625" bestFit="1" customWidth="1"/>
    <col min="27" max="27" width="10.83203125" customWidth="1"/>
  </cols>
  <sheetData>
    <row r="1" spans="1:26">
      <c r="A1" s="3"/>
      <c r="B1" s="3"/>
      <c r="C1" s="3"/>
      <c r="D1" s="3"/>
      <c r="E1" s="3"/>
      <c r="F1" s="3"/>
      <c r="G1" s="3"/>
      <c r="H1" s="15"/>
      <c r="I1" s="1"/>
      <c r="J1" s="1"/>
      <c r="K1" s="1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6" ht="27">
      <c r="A2" s="3"/>
      <c r="B2" s="214" t="s">
        <v>105</v>
      </c>
      <c r="C2" s="5"/>
      <c r="D2" s="5"/>
      <c r="E2" s="3"/>
      <c r="F2" s="3"/>
      <c r="G2" s="3"/>
      <c r="H2" s="3"/>
      <c r="I2" s="1"/>
      <c r="J2" s="351" t="s">
        <v>148</v>
      </c>
      <c r="K2" s="353"/>
      <c r="L2" s="352"/>
      <c r="M2" s="7"/>
      <c r="N2" s="7"/>
      <c r="R2" s="106"/>
      <c r="S2" s="7"/>
      <c r="T2" s="7"/>
      <c r="U2" s="7"/>
      <c r="V2" s="7"/>
      <c r="W2" s="7"/>
      <c r="X2" s="7"/>
      <c r="Y2" s="7"/>
      <c r="Z2" s="7"/>
    </row>
    <row r="3" spans="1:26">
      <c r="A3" s="3"/>
      <c r="B3" s="3" t="s">
        <v>147</v>
      </c>
      <c r="C3" s="3"/>
      <c r="D3" s="3"/>
      <c r="E3" s="3"/>
      <c r="F3" s="3"/>
      <c r="G3" s="3"/>
      <c r="H3" s="3"/>
      <c r="I3" s="1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</row>
    <row r="4" spans="1:26" ht="27">
      <c r="A4" s="3"/>
      <c r="B4" s="3"/>
      <c r="C4" s="3"/>
      <c r="D4" s="81"/>
      <c r="E4" s="3"/>
      <c r="F4" s="82"/>
      <c r="G4" s="82"/>
      <c r="H4" s="3"/>
      <c r="I4" s="1"/>
      <c r="J4" s="1"/>
      <c r="K4" s="1"/>
      <c r="L4" s="1"/>
      <c r="M4" s="1"/>
      <c r="N4" s="1"/>
    </row>
    <row r="5" spans="1:26" ht="20" thickBot="1">
      <c r="A5" s="8"/>
      <c r="B5" s="10" t="s">
        <v>96</v>
      </c>
      <c r="C5" s="46"/>
      <c r="D5" s="47"/>
      <c r="E5" s="47"/>
      <c r="F5" s="17"/>
      <c r="G5" s="17"/>
      <c r="H5" s="67" t="str">
        <f>IF(OR(AND(H6="O",OR(H7="O",H7="U")),AND(H6="U",OR(H7="O",H7="U")))=TRUE," ","ERROR")</f>
        <v xml:space="preserve"> </v>
      </c>
      <c r="I5" s="13"/>
      <c r="J5" s="29" t="s">
        <v>144</v>
      </c>
      <c r="K5" s="13"/>
      <c r="L5" s="13"/>
      <c r="M5" s="13"/>
      <c r="N5" s="13"/>
      <c r="O5" s="13"/>
      <c r="P5" s="13"/>
      <c r="Q5" s="48" t="s">
        <v>103</v>
      </c>
      <c r="R5" s="49"/>
      <c r="S5" s="8"/>
      <c r="T5" s="48" t="s">
        <v>113</v>
      </c>
      <c r="U5" s="8"/>
      <c r="V5" s="64"/>
      <c r="W5" s="64"/>
      <c r="X5" s="64"/>
    </row>
    <row r="6" spans="1:26" ht="17" thickBot="1">
      <c r="A6" s="3"/>
      <c r="B6" s="22" t="s">
        <v>7</v>
      </c>
      <c r="C6" s="36">
        <v>-1.2</v>
      </c>
      <c r="D6" s="410" t="s">
        <v>141</v>
      </c>
      <c r="E6" s="411"/>
      <c r="F6" s="411"/>
      <c r="G6" s="412"/>
      <c r="H6" s="39" t="s">
        <v>11</v>
      </c>
      <c r="I6" s="1"/>
      <c r="J6" s="31"/>
      <c r="K6" s="32"/>
      <c r="L6" s="413" t="s">
        <v>50</v>
      </c>
      <c r="M6" s="414"/>
      <c r="N6" s="413" t="s">
        <v>51</v>
      </c>
      <c r="O6" s="414"/>
      <c r="P6" s="1"/>
      <c r="Q6" s="59" t="s">
        <v>106</v>
      </c>
      <c r="R6" s="60" t="s">
        <v>6</v>
      </c>
      <c r="S6" s="1"/>
      <c r="T6" s="103" t="s">
        <v>49</v>
      </c>
      <c r="U6" s="384" t="str">
        <f>IF(dat_+ot_-(dat+ot)&lt;0,"Error"," ")</f>
        <v xml:space="preserve"> </v>
      </c>
      <c r="V6" s="364"/>
      <c r="W6" s="376"/>
      <c r="X6" s="64"/>
    </row>
    <row r="7" spans="1:26" ht="17" thickBot="1">
      <c r="A7" s="3"/>
      <c r="B7" s="23" t="s">
        <v>8</v>
      </c>
      <c r="C7" s="37">
        <v>-1.2</v>
      </c>
      <c r="D7" s="415" t="s">
        <v>142</v>
      </c>
      <c r="E7" s="416"/>
      <c r="F7" s="416"/>
      <c r="G7" s="417"/>
      <c r="H7" s="40" t="s">
        <v>11</v>
      </c>
      <c r="I7" s="1"/>
      <c r="J7" s="56"/>
      <c r="K7" s="51" t="s">
        <v>12</v>
      </c>
      <c r="L7" s="84">
        <f>G14+H14/60</f>
        <v>68.06</v>
      </c>
      <c r="M7" s="53"/>
      <c r="N7" s="84">
        <f>G22+H22/60</f>
        <v>61.93</v>
      </c>
      <c r="O7" s="53"/>
      <c r="P7" s="1"/>
      <c r="Q7" s="196">
        <v>1</v>
      </c>
      <c r="R7" s="197">
        <v>0.3</v>
      </c>
      <c r="S7" s="1"/>
      <c r="T7" s="104">
        <f>IF(C8="N",1,IF(C8="S",-1,"???"))*SIGN(d)</f>
        <v>1</v>
      </c>
      <c r="U7" s="385"/>
      <c r="V7" s="365"/>
      <c r="W7" s="105"/>
      <c r="X7" s="64"/>
    </row>
    <row r="8" spans="1:26" ht="17" thickBot="1">
      <c r="A8" s="218"/>
      <c r="B8" s="38" t="s">
        <v>112</v>
      </c>
      <c r="C8" s="219" t="s">
        <v>146</v>
      </c>
      <c r="D8" s="421" t="s">
        <v>3</v>
      </c>
      <c r="E8" s="422"/>
      <c r="F8" s="423"/>
      <c r="G8" s="41">
        <v>2.2000000000000002</v>
      </c>
      <c r="H8" s="65" t="s">
        <v>149</v>
      </c>
      <c r="I8" s="1"/>
      <c r="J8" s="57"/>
      <c r="K8" s="52" t="s">
        <v>13</v>
      </c>
      <c r="L8" s="85">
        <f>16-(55*TAN(RADIANS(90-L7))/60-55/1000*(TAN(RADIANS(90-L7)))^3/60+1.777*SQRT(G8))</f>
        <v>12.995101750863645</v>
      </c>
      <c r="M8" s="54"/>
      <c r="N8" s="85">
        <f>IF((16-(55*TAN(RADIANS(90-N7))/60-55/1000*(TAN(RADIANS(90-N7)))^3/60+1.777*SQRT(G8)))&lt;33,16-(55*TAN(RADIANS(90-N7))/60-55/1000*(TAN(RADIANS(90-N7)))^3/60+1.777*SQRT(G8)),0)</f>
        <v>12.87558429136441</v>
      </c>
      <c r="O8" s="54"/>
      <c r="P8" s="1"/>
      <c r="Q8" s="198">
        <f t="shared" ref="Q8:Q18" si="0">1+Q7</f>
        <v>2</v>
      </c>
      <c r="R8" s="199">
        <v>0.2</v>
      </c>
      <c r="S8" s="1"/>
      <c r="T8" s="78" t="s">
        <v>24</v>
      </c>
      <c r="U8" s="79" t="s">
        <v>4</v>
      </c>
      <c r="V8" s="366" t="s">
        <v>45</v>
      </c>
      <c r="W8" s="80" t="s">
        <v>152</v>
      </c>
      <c r="X8" s="64"/>
    </row>
    <row r="9" spans="1:26" ht="19">
      <c r="A9" s="3"/>
      <c r="B9" s="3"/>
      <c r="C9" s="72" t="str">
        <f>IF(OR(C8="N",C8="S")," ","N oder S eingeben")</f>
        <v xml:space="preserve"> </v>
      </c>
      <c r="D9" s="8"/>
      <c r="E9" s="8"/>
      <c r="F9" s="8"/>
      <c r="G9" s="8"/>
      <c r="H9" s="3"/>
      <c r="I9" s="1"/>
      <c r="J9" s="57"/>
      <c r="K9" s="52" t="s">
        <v>14</v>
      </c>
      <c r="L9" s="86">
        <f>IF(H6="U",DGET(Q6:R18,2,R19:R20),IF(H6="O",-(32+DGET(Q6:R18,2,R19:R20)),#N/A))</f>
        <v>-0.2</v>
      </c>
      <c r="M9" s="54"/>
      <c r="N9" s="86">
        <f>IF(H7="U",DGET(Q6:R18,2,R19:R20),IF(H7="O",-(32+DGET(Q6:R18,2,R19:R20))&gt;33,#N/A))</f>
        <v>-0.2</v>
      </c>
      <c r="O9" s="54"/>
      <c r="P9" s="1"/>
      <c r="Q9" s="198">
        <f t="shared" si="0"/>
        <v>3</v>
      </c>
      <c r="R9" s="199">
        <v>0.1</v>
      </c>
      <c r="S9" s="1"/>
      <c r="T9" s="333" t="s">
        <v>39</v>
      </c>
      <c r="U9" s="330">
        <f t="shared" ref="U9:U22" si="1">DEGREES(V9)</f>
        <v>-309.64458392351997</v>
      </c>
      <c r="V9" s="367">
        <f>IF(C21="Zwischenzeit!","X",grt_-grt)</f>
        <v>-5.4043175004333248</v>
      </c>
      <c r="W9" s="377" t="s">
        <v>153</v>
      </c>
      <c r="X9" s="64"/>
    </row>
    <row r="10" spans="1:26">
      <c r="A10" s="3"/>
      <c r="B10" s="3"/>
      <c r="D10" s="3"/>
      <c r="E10" s="3"/>
      <c r="F10" s="3"/>
      <c r="G10" s="3"/>
      <c r="H10" s="3"/>
      <c r="I10" s="1"/>
      <c r="J10" s="57"/>
      <c r="K10" s="52" t="s">
        <v>15</v>
      </c>
      <c r="L10" s="86">
        <f>C6</f>
        <v>-1.2</v>
      </c>
      <c r="M10" s="54"/>
      <c r="N10" s="86">
        <f>C7</f>
        <v>-1.2</v>
      </c>
      <c r="O10" s="54"/>
      <c r="P10" s="1"/>
      <c r="Q10" s="198">
        <f t="shared" si="0"/>
        <v>4</v>
      </c>
      <c r="R10" s="199">
        <v>0</v>
      </c>
      <c r="S10" s="1"/>
      <c r="T10" s="340" t="s">
        <v>28</v>
      </c>
      <c r="U10" s="330">
        <f t="shared" si="1"/>
        <v>33.731943466289465</v>
      </c>
      <c r="V10" s="368">
        <f>ATAN(TAN(d_)/COS(q))</f>
        <v>0.58873347658334008</v>
      </c>
      <c r="W10" s="378" t="s">
        <v>154</v>
      </c>
      <c r="X10" s="64"/>
    </row>
    <row r="11" spans="1:26" ht="17">
      <c r="A11" s="3"/>
      <c r="B11" s="10" t="s">
        <v>97</v>
      </c>
      <c r="C11" s="10"/>
      <c r="D11" s="10"/>
      <c r="E11" s="8"/>
      <c r="F11" s="8"/>
      <c r="G11" s="11"/>
      <c r="H11" s="11"/>
      <c r="I11" s="1"/>
      <c r="J11" s="57"/>
      <c r="K11" s="52" t="s">
        <v>17</v>
      </c>
      <c r="L11" s="87">
        <f>L7+(L8+L9+L10)/60</f>
        <v>68.253251695847723</v>
      </c>
      <c r="M11" s="89"/>
      <c r="N11" s="87">
        <f>N7+(N8+N9+N10)/60</f>
        <v>62.121259738189408</v>
      </c>
      <c r="O11" s="89"/>
      <c r="P11" s="1"/>
      <c r="Q11" s="198">
        <f t="shared" si="0"/>
        <v>5</v>
      </c>
      <c r="R11" s="199">
        <v>-0.2</v>
      </c>
      <c r="S11" s="1"/>
      <c r="T11" s="75" t="s">
        <v>37</v>
      </c>
      <c r="U11" s="330">
        <f t="shared" si="1"/>
        <v>79.551214512997333</v>
      </c>
      <c r="V11" s="369">
        <f>ATAN(COS(F)*TAN(q)/SIN(F-d))+IF(TG=0,0,IF(AND(d&lt;0,TAN(q)*SIN(F-d)&gt;0)=TRUE,PI(),IF(AND(d&gt;0,TAN(q)*SIN(F-d)&lt;0)=TRUE,PI(),0)))</f>
        <v>1.3884306172121008</v>
      </c>
      <c r="W11" s="379" t="s">
        <v>155</v>
      </c>
      <c r="X11" s="64"/>
    </row>
    <row r="12" spans="1:26">
      <c r="A12" s="3"/>
      <c r="B12" s="42" t="s">
        <v>0</v>
      </c>
      <c r="C12" s="43"/>
      <c r="D12" s="19"/>
      <c r="E12" s="19"/>
      <c r="F12" s="44" t="s">
        <v>151</v>
      </c>
      <c r="G12" s="391">
        <v>45453</v>
      </c>
      <c r="H12" s="392"/>
      <c r="I12" s="1"/>
      <c r="J12" s="57"/>
      <c r="K12" s="52" t="s">
        <v>18</v>
      </c>
      <c r="L12" s="88">
        <f>INT(L11)</f>
        <v>68</v>
      </c>
      <c r="M12" s="55">
        <f>(L11-L12)*60</f>
        <v>15.195101750863387</v>
      </c>
      <c r="N12" s="88">
        <f>INT(N11)</f>
        <v>62</v>
      </c>
      <c r="O12" s="55">
        <f>(N11-N12)*60</f>
        <v>7.2755842913645097</v>
      </c>
      <c r="P12" s="1"/>
      <c r="Q12" s="198">
        <f t="shared" si="0"/>
        <v>6</v>
      </c>
      <c r="R12" s="199">
        <v>-0.2</v>
      </c>
      <c r="S12" s="1"/>
      <c r="T12" s="75" t="s">
        <v>29</v>
      </c>
      <c r="U12" s="330">
        <f t="shared" si="1"/>
        <v>26.091238900369575</v>
      </c>
      <c r="V12" s="369">
        <f>P*ACOS((COS(V)*TAN(h)/TAN(F-d))*(SIN(h_)*SIN(F)/SIN(h)/SIN(d_)/COS(F-d)-1))</f>
        <v>0.45537802473587385</v>
      </c>
      <c r="W12" s="379" t="s">
        <v>156</v>
      </c>
      <c r="X12" s="64"/>
    </row>
    <row r="13" spans="1:26" ht="17" thickBot="1">
      <c r="A13" s="3"/>
      <c r="B13" s="42" t="s">
        <v>1</v>
      </c>
      <c r="C13" s="43"/>
      <c r="D13" s="19"/>
      <c r="E13" s="19"/>
      <c r="F13" s="44" t="str">
        <f>IF(ISNUMBER(G13)=TRUE,"hh:mm:ss: "," Syntax !!! ")</f>
        <v xml:space="preserve">hh:mm:ss: </v>
      </c>
      <c r="G13" s="389">
        <v>0.47576388888888888</v>
      </c>
      <c r="H13" s="390"/>
      <c r="I13" s="1"/>
      <c r="J13" s="58"/>
      <c r="K13" s="50" t="s">
        <v>16</v>
      </c>
      <c r="L13" s="107">
        <f>RADIANS(L11)</f>
        <v>1.1912439672849462</v>
      </c>
      <c r="M13" s="90" t="s">
        <v>9</v>
      </c>
      <c r="N13" s="107">
        <f>IF(N8=0,1/0,RADIANS(N11))</f>
        <v>1.0842205179179958</v>
      </c>
      <c r="O13" s="90" t="s">
        <v>38</v>
      </c>
      <c r="P13" s="1"/>
      <c r="Q13" s="198">
        <f t="shared" si="0"/>
        <v>7</v>
      </c>
      <c r="R13" s="199">
        <v>-0.2</v>
      </c>
      <c r="S13" s="1"/>
      <c r="T13" s="75" t="s">
        <v>30</v>
      </c>
      <c r="U13" s="330">
        <f t="shared" si="1"/>
        <v>76.640050801430291</v>
      </c>
      <c r="V13" s="368">
        <f>ATAN(TAN(h)/COS(V-W))</f>
        <v>1.3376212253806774</v>
      </c>
      <c r="W13" s="378" t="s">
        <v>157</v>
      </c>
      <c r="X13" s="64"/>
    </row>
    <row r="14" spans="1:26">
      <c r="A14" s="3"/>
      <c r="B14" s="42" t="s">
        <v>2</v>
      </c>
      <c r="C14" s="291"/>
      <c r="D14" s="291"/>
      <c r="E14" s="360"/>
      <c r="F14" s="44" t="str">
        <f>IF(H6="U","Unterrand: ",IF(H6="O","Oberrand: "," "))</f>
        <v xml:space="preserve">Unterrand: </v>
      </c>
      <c r="G14" s="20">
        <v>68</v>
      </c>
      <c r="H14" s="24">
        <v>3.6</v>
      </c>
      <c r="I14" s="1"/>
      <c r="J14" s="1"/>
      <c r="K14" s="1"/>
      <c r="L14" s="1"/>
      <c r="M14" s="1"/>
      <c r="N14" s="1"/>
      <c r="O14" s="1"/>
      <c r="P14" s="1"/>
      <c r="Q14" s="198">
        <f t="shared" si="0"/>
        <v>8</v>
      </c>
      <c r="R14" s="199">
        <v>-0.2</v>
      </c>
      <c r="S14" s="1"/>
      <c r="T14" s="340" t="s">
        <v>169</v>
      </c>
      <c r="U14" s="330">
        <f t="shared" si="1"/>
        <v>21.182537730450399</v>
      </c>
      <c r="V14" s="368">
        <f>ATAN(COS(G)*TAN(V-W)/SIN(G-d))+IF((G-d)*P&gt;0,0,PI())</f>
        <v>0.36970502732428656</v>
      </c>
      <c r="W14" s="386" t="s">
        <v>172</v>
      </c>
      <c r="X14" s="64"/>
    </row>
    <row r="15" spans="1:26">
      <c r="A15" s="3"/>
      <c r="B15" s="12"/>
      <c r="C15" s="12"/>
      <c r="D15" s="12"/>
      <c r="E15" s="3"/>
      <c r="F15" s="21"/>
      <c r="G15" s="3"/>
      <c r="H15" s="21"/>
      <c r="I15" s="1"/>
      <c r="J15" s="1"/>
      <c r="K15" s="1"/>
      <c r="L15" s="1"/>
      <c r="M15" s="28"/>
      <c r="N15" s="27"/>
      <c r="O15" s="30"/>
      <c r="P15" s="1"/>
      <c r="Q15" s="198">
        <f t="shared" si="0"/>
        <v>9</v>
      </c>
      <c r="R15" s="199">
        <v>-0.1</v>
      </c>
      <c r="S15" s="1"/>
      <c r="T15" s="102" t="s">
        <v>31</v>
      </c>
      <c r="U15" s="331">
        <f t="shared" si="1"/>
        <v>34.531160013137175</v>
      </c>
      <c r="V15" s="370">
        <f>ATAN(COS(lam0)*_xlfn.COT(G-d))</f>
        <v>0.60268243676225208</v>
      </c>
      <c r="W15" s="380" t="s">
        <v>65</v>
      </c>
      <c r="X15" s="64"/>
    </row>
    <row r="16" spans="1:26" ht="19" thickBot="1">
      <c r="A16" s="3"/>
      <c r="B16" s="10" t="s">
        <v>98</v>
      </c>
      <c r="C16" s="26"/>
      <c r="D16" s="25"/>
      <c r="E16" s="11"/>
      <c r="F16" s="11"/>
      <c r="G16" s="11"/>
      <c r="H16" s="8"/>
      <c r="I16" s="1"/>
      <c r="J16" s="98" t="s">
        <v>102</v>
      </c>
      <c r="K16" s="1"/>
      <c r="L16" s="1"/>
      <c r="M16" s="206" t="s">
        <v>145</v>
      </c>
      <c r="N16" s="1"/>
      <c r="O16" s="1"/>
      <c r="P16" s="1"/>
      <c r="Q16" s="198">
        <f t="shared" si="0"/>
        <v>10</v>
      </c>
      <c r="R16" s="199">
        <v>0.1</v>
      </c>
      <c r="S16" s="1"/>
      <c r="T16" s="102" t="s">
        <v>40</v>
      </c>
      <c r="U16" s="331">
        <f t="shared" si="1"/>
        <v>372.56425688635869</v>
      </c>
      <c r="V16" s="370">
        <f>grt+lam0</f>
        <v>6.5024729579129161</v>
      </c>
      <c r="W16" s="380" t="s">
        <v>158</v>
      </c>
      <c r="X16" s="64"/>
    </row>
    <row r="17" spans="1:24" ht="17" thickBot="1">
      <c r="A17" s="3"/>
      <c r="B17" s="42" t="s">
        <v>33</v>
      </c>
      <c r="C17" s="222">
        <v>18</v>
      </c>
      <c r="D17" s="221" t="s">
        <v>5</v>
      </c>
      <c r="E17" s="393" t="s">
        <v>34</v>
      </c>
      <c r="F17" s="393"/>
      <c r="G17" s="394"/>
      <c r="H17" s="63">
        <v>240</v>
      </c>
      <c r="I17" s="9"/>
      <c r="J17" s="95" t="s">
        <v>46</v>
      </c>
      <c r="K17" s="320"/>
      <c r="L17" s="1"/>
      <c r="M17" s="194" t="s">
        <v>46</v>
      </c>
      <c r="N17" s="96" t="s">
        <v>47</v>
      </c>
      <c r="O17" s="97" t="s">
        <v>48</v>
      </c>
      <c r="P17" s="61"/>
      <c r="Q17" s="198">
        <f t="shared" si="0"/>
        <v>11</v>
      </c>
      <c r="R17" s="199">
        <v>0.2</v>
      </c>
      <c r="S17" s="1"/>
      <c r="T17" s="333" t="s">
        <v>25</v>
      </c>
      <c r="U17" s="334">
        <f t="shared" si="1"/>
        <v>338.81746226954959</v>
      </c>
      <c r="V17" s="367">
        <f>IF(grt-_l&lt;0,grt-_l+ 2*PI(),IF(grt-_l&gt;2*PI(),grt-_l-2*PI(),grt-_l))</f>
        <v>5.9134802798552997</v>
      </c>
      <c r="W17" s="377" t="s">
        <v>159</v>
      </c>
      <c r="X17" s="64"/>
    </row>
    <row r="18" spans="1:24" ht="17" thickBot="1">
      <c r="A18" s="3"/>
      <c r="B18" s="8"/>
      <c r="C18" s="8"/>
      <c r="D18" s="8"/>
      <c r="E18" s="8"/>
      <c r="F18" s="8"/>
      <c r="G18" s="8"/>
      <c r="H18" s="8"/>
      <c r="I18" s="1"/>
      <c r="J18" s="190" t="s">
        <v>88</v>
      </c>
      <c r="K18" s="321">
        <f>280.4656</f>
        <v>280.46559999999999</v>
      </c>
      <c r="L18" s="1"/>
      <c r="M18" s="193" t="s">
        <v>79</v>
      </c>
      <c r="N18" s="174">
        <f>_xlfn.DAYS(dat,ref)+ot-0.5</f>
        <v>8926.9757638888896</v>
      </c>
      <c r="O18" s="175">
        <f>_xlfn.DAYS(dat_,ref)+ot_-0.5</f>
        <v>8927.1156597222216</v>
      </c>
      <c r="P18" s="1"/>
      <c r="Q18" s="200">
        <f t="shared" si="0"/>
        <v>12</v>
      </c>
      <c r="R18" s="201">
        <v>0.3</v>
      </c>
      <c r="S18" s="1"/>
      <c r="T18" s="340" t="s">
        <v>32</v>
      </c>
      <c r="U18" s="330">
        <f t="shared" si="1"/>
        <v>116.19432167297266</v>
      </c>
      <c r="V18" s="368">
        <f>IF(LHA&gt;PI(),ACOS((SIN(d)-SIN(h)*SIN(j))/(COS(h)*COS(j))),(2*PI()-ACOS((SIN(d)-SIN(h)*SIN(j))/(COS(h)*COS(j)))))</f>
        <v>2.0279734853147788</v>
      </c>
      <c r="W18" s="378" t="s">
        <v>160</v>
      </c>
      <c r="X18" s="64"/>
    </row>
    <row r="19" spans="1:24" ht="18" thickBot="1">
      <c r="A19" s="3"/>
      <c r="B19" s="10" t="s">
        <v>99</v>
      </c>
      <c r="C19" s="16"/>
      <c r="D19" s="16"/>
      <c r="E19" s="17"/>
      <c r="F19" s="17"/>
      <c r="G19" s="328"/>
      <c r="H19" s="1"/>
      <c r="I19" s="1"/>
      <c r="J19" s="191" t="s">
        <v>89</v>
      </c>
      <c r="K19" s="322">
        <f>282.94</f>
        <v>282.94</v>
      </c>
      <c r="L19" s="1"/>
      <c r="M19" s="176" t="s">
        <v>78</v>
      </c>
      <c r="N19" s="177">
        <f>RADIANS(_A1+_B1*_T1)</f>
        <v>158.46394918139467</v>
      </c>
      <c r="O19" s="178">
        <f>RADIANS(_A1+_B1*_T2)</f>
        <v>158.46635578021949</v>
      </c>
      <c r="P19" s="1"/>
      <c r="Q19" s="395" t="s">
        <v>104</v>
      </c>
      <c r="R19" s="76" t="s">
        <v>106</v>
      </c>
      <c r="S19" s="1"/>
      <c r="T19" s="335" t="s">
        <v>41</v>
      </c>
      <c r="U19" s="331">
        <f t="shared" si="1"/>
        <v>68.086338305477213</v>
      </c>
      <c r="V19" s="371">
        <f>RADIANS(dmg/60)*COS(Az-RADIANS(cmg))+h</f>
        <v>1.1883307790573141</v>
      </c>
      <c r="W19" s="381" t="s">
        <v>161</v>
      </c>
      <c r="X19" s="64"/>
    </row>
    <row r="20" spans="1:24" ht="17" thickBot="1">
      <c r="A20" s="3"/>
      <c r="B20" s="42" t="s">
        <v>0</v>
      </c>
      <c r="C20" s="397" t="s">
        <v>150</v>
      </c>
      <c r="D20" s="397"/>
      <c r="E20" s="398"/>
      <c r="F20" s="361">
        <f>dat_-dat</f>
        <v>0</v>
      </c>
      <c r="G20" s="391">
        <v>45453</v>
      </c>
      <c r="H20" s="392"/>
      <c r="I20" s="1"/>
      <c r="J20" s="191" t="s">
        <v>90</v>
      </c>
      <c r="K20" s="322">
        <f>0.016709</f>
        <v>1.6709000000000002E-2</v>
      </c>
      <c r="L20" s="1"/>
      <c r="M20" s="176" t="s">
        <v>81</v>
      </c>
      <c r="N20" s="177">
        <f>RADIANS(_A2+_B2*_T1)</f>
        <v>4.9455681971230661</v>
      </c>
      <c r="O20" s="178">
        <f>RADIANS(_A2+_B2*_T2)</f>
        <v>4.9455683120490743</v>
      </c>
      <c r="P20" s="1"/>
      <c r="Q20" s="396"/>
      <c r="R20" s="77">
        <f>MONTH(G12)</f>
        <v>6</v>
      </c>
      <c r="S20" s="1"/>
      <c r="T20" s="341" t="s">
        <v>42</v>
      </c>
      <c r="U20" s="334">
        <f t="shared" si="1"/>
        <v>26.570831376933228</v>
      </c>
      <c r="V20" s="372">
        <f>P*ACOS((COS(V)*TAN(hs)/TAN(F-d))*(SIN(h_)*SIN(F)/SIN(hs)/SIN(d_)/COS(F-d)-1))</f>
        <v>0.46374849251970329</v>
      </c>
      <c r="W20" s="382" t="s">
        <v>162</v>
      </c>
      <c r="X20" s="64"/>
    </row>
    <row r="21" spans="1:24">
      <c r="A21" s="3"/>
      <c r="B21" s="42" t="s">
        <v>1</v>
      </c>
      <c r="C21" s="420" t="str">
        <f>IF(OR((dat_-dat)+ot_-ot&lt;0,(dat_-dat)+ot_-ot&gt;5),"Zwischenzeit!"," ")</f>
        <v xml:space="preserve"> </v>
      </c>
      <c r="D21" s="420"/>
      <c r="E21" s="418" t="str">
        <f>IF(ISNUMBER(G21)=TRUE,"hh:mm:ss"," Syntax !!! ")</f>
        <v>hh:mm:ss</v>
      </c>
      <c r="F21" s="419"/>
      <c r="G21" s="389">
        <v>0.61565972222222221</v>
      </c>
      <c r="H21" s="390"/>
      <c r="I21" s="1"/>
      <c r="J21" s="191" t="s">
        <v>91</v>
      </c>
      <c r="K21" s="322">
        <f>23.4391667</f>
        <v>23.439166700000001</v>
      </c>
      <c r="L21" s="1"/>
      <c r="M21" s="176" t="s">
        <v>82</v>
      </c>
      <c r="N21" s="177">
        <f>N19-N20</f>
        <v>153.5183809842716</v>
      </c>
      <c r="O21" s="178">
        <f>(O19-O20)</f>
        <v>153.52078746817043</v>
      </c>
      <c r="P21" s="1"/>
      <c r="Q21" s="1"/>
      <c r="R21" s="1"/>
      <c r="S21" s="1"/>
      <c r="T21" s="75" t="s">
        <v>43</v>
      </c>
      <c r="U21" s="330">
        <f t="shared" si="1"/>
        <v>76.384882399157206</v>
      </c>
      <c r="V21" s="368">
        <f>ATAN(TAN(hs)/COS(V-Ws))</f>
        <v>1.3331676966139587</v>
      </c>
      <c r="W21" s="378" t="s">
        <v>163</v>
      </c>
      <c r="X21" s="64"/>
    </row>
    <row r="22" spans="1:24">
      <c r="A22" s="3"/>
      <c r="B22" s="42" t="s">
        <v>2</v>
      </c>
      <c r="C22" s="360"/>
      <c r="D22" s="19" t="str">
        <f>IF(F7="U","Unterrand: ",IF(F7="O","Oberrand: "," "))</f>
        <v xml:space="preserve"> </v>
      </c>
      <c r="E22" s="418" t="str">
        <f>IF(H7="U","Unterrand:",IF(H7="O","Oberrand:"," "))</f>
        <v>Unterrand:</v>
      </c>
      <c r="F22" s="419"/>
      <c r="G22" s="20">
        <v>61</v>
      </c>
      <c r="H22" s="24">
        <v>55.8</v>
      </c>
      <c r="I22" s="1"/>
      <c r="J22" s="192"/>
      <c r="K22" s="323"/>
      <c r="L22" s="1"/>
      <c r="M22" s="176" t="s">
        <v>83</v>
      </c>
      <c r="N22" s="177">
        <f>_A3-_B3*_T1</f>
        <v>1.6698734894398815E-2</v>
      </c>
      <c r="O22" s="178">
        <f>_A3-_B3*_T2</f>
        <v>1.669873473353297E-2</v>
      </c>
      <c r="P22" s="1"/>
      <c r="Q22" s="100"/>
      <c r="R22" s="35"/>
      <c r="S22" s="1"/>
      <c r="T22" s="340" t="s">
        <v>170</v>
      </c>
      <c r="U22" s="330">
        <f t="shared" si="1"/>
        <v>21.267918126318637</v>
      </c>
      <c r="V22" s="368">
        <f>ATAN(COS(Gs)*TAN(V-Ws)/SIN(Gs-d))+IF((Gs-d)*P&gt;0,0,PI())</f>
        <v>0.37119519634884351</v>
      </c>
      <c r="W22" s="386" t="s">
        <v>171</v>
      </c>
      <c r="X22" s="64"/>
    </row>
    <row r="23" spans="1:24">
      <c r="A23" s="3"/>
      <c r="B23" s="8"/>
      <c r="C23" s="3"/>
      <c r="D23" s="3"/>
      <c r="E23" s="3"/>
      <c r="F23" s="21"/>
      <c r="G23" s="18"/>
      <c r="I23" s="1"/>
      <c r="J23" s="191" t="s">
        <v>92</v>
      </c>
      <c r="K23" s="324">
        <v>0.98564733744010957</v>
      </c>
      <c r="L23" s="1"/>
      <c r="M23" s="176" t="s">
        <v>109</v>
      </c>
      <c r="N23" s="177">
        <f>(2*N22-N22^3/4)*SIN(N21)+5*N22^2/4*SIN(2*N21)+13*N22^3/12*SIN(3*N21)</f>
        <v>1.3352702149619408E-2</v>
      </c>
      <c r="O23" s="178">
        <f>(2*O22-O22^3/4)*SIN(O21)+5*O22^2/4*SIN(2*O21)+13*O22^3/12*SIN(3*O21)</f>
        <v>1.3280380986224851E-2</v>
      </c>
      <c r="P23" s="1"/>
      <c r="Q23" s="101"/>
      <c r="R23" s="1"/>
      <c r="S23" s="1"/>
      <c r="T23" s="99" t="s">
        <v>67</v>
      </c>
      <c r="U23" s="330">
        <f>IF(var="Error",#N/A,DEGREES(js))</f>
        <v>34.765106842149578</v>
      </c>
      <c r="V23" s="368">
        <f>ATAN(COS(lam0s)*_xlfn.COT(Gs-d))</f>
        <v>0.60676557920311869</v>
      </c>
      <c r="W23" s="378" t="s">
        <v>164</v>
      </c>
      <c r="X23" s="64"/>
    </row>
    <row r="24" spans="1:24" ht="17">
      <c r="A24" s="3"/>
      <c r="B24" s="10" t="s">
        <v>100</v>
      </c>
      <c r="C24" s="1"/>
      <c r="D24" s="1"/>
      <c r="E24" s="1"/>
      <c r="F24" s="1"/>
      <c r="G24" s="1"/>
      <c r="H24" s="1"/>
      <c r="I24" s="1"/>
      <c r="J24" s="191" t="s">
        <v>93</v>
      </c>
      <c r="K24" s="324">
        <v>4.706913073237508E-5</v>
      </c>
      <c r="L24" s="1"/>
      <c r="M24" s="179" t="s">
        <v>80</v>
      </c>
      <c r="N24" s="177">
        <f>N19+N23</f>
        <v>158.4773018835443</v>
      </c>
      <c r="O24" s="178">
        <f>O19+O23</f>
        <v>158.47963616120572</v>
      </c>
      <c r="P24" s="1"/>
      <c r="Q24" s="101"/>
      <c r="R24" s="1"/>
      <c r="S24" s="1"/>
      <c r="T24" s="342" t="s">
        <v>68</v>
      </c>
      <c r="U24" s="330">
        <f>DEGREES(V24)</f>
        <v>372.64963728222688</v>
      </c>
      <c r="V24" s="368">
        <f>grt+lam0s</f>
        <v>6.5039631269374727</v>
      </c>
      <c r="W24" s="378" t="s">
        <v>165</v>
      </c>
      <c r="X24" s="64"/>
    </row>
    <row r="25" spans="1:24" ht="17" thickBot="1">
      <c r="A25" s="3"/>
      <c r="B25" s="74" t="s">
        <v>53</v>
      </c>
      <c r="C25" s="354">
        <f>IFERROR(INT(ABS(lat))," ")</f>
        <v>34</v>
      </c>
      <c r="D25" s="355">
        <f>IFERROR(ROUNDDOWN((ABS(lat)-C25),6)*60," ")</f>
        <v>45.906359999999999</v>
      </c>
      <c r="E25" s="356" t="str">
        <f>IFERROR(IF(lat&lt;0,"S","N")," ")</f>
        <v>N</v>
      </c>
      <c r="F25" s="357">
        <f>IFERROR(INT(ABS(lon))," ")</f>
        <v>12</v>
      </c>
      <c r="G25" s="358">
        <f>IFERROR(ROUNDDOWN((ABS(lon)-F25),6)*60," ")</f>
        <v>38.97822</v>
      </c>
      <c r="H25" s="359" t="str">
        <f>IFERROR(IF(lon&lt;0,"W","E")," ")</f>
        <v>W</v>
      </c>
      <c r="I25" s="1"/>
      <c r="J25" s="191" t="s">
        <v>94</v>
      </c>
      <c r="K25" s="324">
        <v>1.1498973305954826E-9</v>
      </c>
      <c r="L25" s="1"/>
      <c r="M25" s="180" t="s">
        <v>84</v>
      </c>
      <c r="N25" s="181">
        <f>RADIANS(_A4-_B4*_T1)</f>
        <v>0.40903515488849973</v>
      </c>
      <c r="O25" s="182">
        <f>RADIANS(_A4-_B4*_T2)</f>
        <v>0.40903515401909729</v>
      </c>
      <c r="P25" s="1"/>
      <c r="Q25" s="101"/>
      <c r="R25" s="1"/>
      <c r="S25" s="1"/>
      <c r="T25" s="83" t="s">
        <v>44</v>
      </c>
      <c r="U25" s="332">
        <f>IF(var="Error",#N/A,DEGREES(ls))</f>
        <v>-12.649637282226893</v>
      </c>
      <c r="V25" s="373">
        <f>IF(_ls&gt;3*PI(),2*PI(),0)+IF(_ls&lt;PI(),-_ls,2*PI()-_ls)</f>
        <v>-0.22077781975788646</v>
      </c>
      <c r="W25" s="383" t="s">
        <v>166</v>
      </c>
      <c r="X25" s="64"/>
    </row>
    <row r="26" spans="1:24" ht="17" thickBot="1">
      <c r="A26" s="3"/>
      <c r="B26" s="45" t="s">
        <v>10</v>
      </c>
      <c r="C26" s="403">
        <f>IFERROR(ot+(360-LHA°)/15/24," ")</f>
        <v>0.53460427147347334</v>
      </c>
      <c r="D26" s="403"/>
      <c r="E26" s="73" t="s">
        <v>27</v>
      </c>
      <c r="F26" s="404"/>
      <c r="G26" s="404"/>
      <c r="H26" s="289"/>
      <c r="I26" s="1"/>
      <c r="J26" s="191" t="s">
        <v>95</v>
      </c>
      <c r="K26" s="324">
        <v>3.5607270514868054E-7</v>
      </c>
      <c r="L26" s="1"/>
      <c r="M26" s="183" t="s">
        <v>85</v>
      </c>
      <c r="N26" s="184">
        <f>ATAN(  (TAN(N19)-TAN(N24)*COS(N25))  /(1+TAN(N19)*TAN(N24)*COS(N25)))</f>
        <v>1.8626006455494627E-3</v>
      </c>
      <c r="O26" s="185">
        <f>ATAN(  (TAN(O19)-TAN(O24)*COS(O25))  /(1+TAN(O19)*TAN(O24)*COS(O25)))</f>
        <v>1.7389628561656986E-3</v>
      </c>
      <c r="P26" s="1"/>
      <c r="Q26" s="101"/>
      <c r="R26" s="1"/>
      <c r="S26" s="1"/>
      <c r="T26" s="343"/>
      <c r="U26" s="343"/>
      <c r="V26" s="344"/>
      <c r="W26" s="13"/>
      <c r="X26" s="64"/>
    </row>
    <row r="27" spans="1:24" ht="19" thickBot="1">
      <c r="A27" s="4"/>
      <c r="B27" s="8"/>
      <c r="C27" s="3"/>
      <c r="D27" s="3"/>
      <c r="E27" s="3"/>
      <c r="F27" s="3"/>
      <c r="G27" s="3"/>
      <c r="H27" s="3"/>
      <c r="I27" s="1"/>
      <c r="J27" s="94"/>
      <c r="K27" s="325"/>
      <c r="L27" s="1"/>
      <c r="M27" s="216" t="s">
        <v>110</v>
      </c>
      <c r="N27" s="217">
        <f>IF((ot*24+12)&gt;24,N26+RADIANS(15)*(ot*24-12),N26+RADIANS(15)*(ot*24+12))</f>
        <v>6.1327679305886296</v>
      </c>
      <c r="O27" s="287">
        <f>IF((ot_*24+12)&gt;24,O26+RADIANS(15)*(ot_*24-12),O26+RADIANS(15)*(ot_*24+12))</f>
        <v>0.72845043015530453</v>
      </c>
      <c r="P27" s="1"/>
      <c r="Q27" s="101"/>
      <c r="R27" s="1"/>
      <c r="S27" s="1"/>
      <c r="T27" s="206" t="s">
        <v>52</v>
      </c>
      <c r="U27" s="345"/>
      <c r="V27" s="346"/>
      <c r="W27" s="13"/>
      <c r="X27" s="64"/>
    </row>
    <row r="28" spans="1:24" ht="18" thickBot="1">
      <c r="A28" s="1"/>
      <c r="B28" s="205" t="s">
        <v>101</v>
      </c>
      <c r="C28" s="3"/>
      <c r="D28" s="3"/>
      <c r="E28" s="3"/>
      <c r="F28" s="3"/>
      <c r="G28" s="3"/>
      <c r="H28" s="3"/>
      <c r="I28" s="1"/>
      <c r="J28" s="195" t="s">
        <v>111</v>
      </c>
      <c r="K28" s="326">
        <v>36526</v>
      </c>
      <c r="L28" s="1"/>
      <c r="M28" s="186" t="s">
        <v>107</v>
      </c>
      <c r="N28" s="215">
        <f>IF(N27&lt;0,N27+2*PI(),IF(N27&gt;2*PI(),N27-2*PI(),N27))</f>
        <v>6.1327679305886296</v>
      </c>
      <c r="O28" s="215">
        <f>IF(O27&lt;0,O27+2*PI(),IF(O27&gt;2*PI(),O27-2*PI(),O27))</f>
        <v>0.72845043015530453</v>
      </c>
      <c r="P28" s="1"/>
      <c r="Q28" s="101"/>
      <c r="R28" s="1"/>
      <c r="S28" s="1"/>
      <c r="T28" s="347" t="s">
        <v>35</v>
      </c>
      <c r="U28" s="348">
        <f>DEGREES(V28)</f>
        <v>29.08749795016141</v>
      </c>
      <c r="V28" s="374">
        <f>IF(grt_+ls&lt;0,grt_+ls+ 2*PI(),IF(grt_+ls&gt;2*PI(),grt_+ls-2*PI(),grt_+ls))</f>
        <v>0.50767261039741807</v>
      </c>
      <c r="W28" s="362" t="s">
        <v>167</v>
      </c>
      <c r="X28" s="64"/>
    </row>
    <row r="29" spans="1:24" ht="17" thickBot="1">
      <c r="A29" s="3"/>
      <c r="B29" s="33" t="s">
        <v>19</v>
      </c>
      <c r="C29" s="405">
        <f>G13</f>
        <v>0.47576388888888888</v>
      </c>
      <c r="D29" s="406"/>
      <c r="E29" s="405">
        <f>ot_</f>
        <v>0.61565972222222221</v>
      </c>
      <c r="F29" s="407"/>
      <c r="G29" s="406"/>
      <c r="H29" s="6"/>
      <c r="I29" s="1"/>
      <c r="J29" s="91"/>
      <c r="K29" s="93"/>
      <c r="L29" s="1"/>
      <c r="M29" s="187" t="s">
        <v>86</v>
      </c>
      <c r="N29" s="188">
        <f>ASIN(SIN(N24)*SIN(N25))</f>
        <v>0.40256397949517003</v>
      </c>
      <c r="O29" s="189">
        <f>ASIN(SIN(O24)*SIN(O25))</f>
        <v>0.4027366496667143</v>
      </c>
      <c r="P29" s="1"/>
      <c r="Q29" s="101"/>
      <c r="R29" s="1"/>
      <c r="S29" s="1"/>
      <c r="T29" s="349" t="s">
        <v>36</v>
      </c>
      <c r="U29" s="350">
        <f>DEGREES(V29)</f>
        <v>253.03326036760785</v>
      </c>
      <c r="V29" s="375">
        <f>IF(LHA_&gt;PI(),ACOS((SIN(d_)-SIN(js)*SIN(h_))/COS(js)/COS(h_)),(2*PI()-ACOS((SIN(d_)-SIN(js)*SIN(h_))/COS(js)/COS(h_))))</f>
        <v>4.4162635104708343</v>
      </c>
      <c r="W29" s="363" t="s">
        <v>168</v>
      </c>
      <c r="X29" s="64"/>
    </row>
    <row r="30" spans="1:24">
      <c r="A30" s="3"/>
      <c r="B30" s="68" t="s">
        <v>20</v>
      </c>
      <c r="C30" s="34">
        <f>INT(N30)</f>
        <v>351</v>
      </c>
      <c r="D30" s="211">
        <f>(N30-C30)*60</f>
        <v>22.903149354497145</v>
      </c>
      <c r="E30" s="408">
        <f>INT(O30)</f>
        <v>41</v>
      </c>
      <c r="F30" s="409"/>
      <c r="G30" s="207">
        <f>(O30-E30)*60</f>
        <v>44.228113943298268</v>
      </c>
      <c r="H30" s="3"/>
      <c r="L30" s="1"/>
      <c r="M30" s="186" t="s">
        <v>108</v>
      </c>
      <c r="N30" s="202">
        <f>DEGREES(N28)</f>
        <v>351.38171915590829</v>
      </c>
      <c r="O30" s="202">
        <f>DEGREES(O28)</f>
        <v>41.737135232388304</v>
      </c>
      <c r="P30" s="1"/>
      <c r="Q30" s="101"/>
      <c r="R30" s="1"/>
      <c r="S30" s="1"/>
      <c r="W30" s="64"/>
      <c r="X30" s="64"/>
    </row>
    <row r="31" spans="1:24" ht="17" thickBot="1">
      <c r="A31" s="3"/>
      <c r="B31" s="69" t="s">
        <v>21</v>
      </c>
      <c r="C31" s="290">
        <f>ROUNDDOWN(N31,0)</f>
        <v>23</v>
      </c>
      <c r="D31" s="212">
        <f>(ABS(N31)-ABS(C31))*60</f>
        <v>3.9130205438553389</v>
      </c>
      <c r="E31" s="399">
        <f>ROUNDDOWN(O31,0)</f>
        <v>23</v>
      </c>
      <c r="F31" s="400"/>
      <c r="G31" s="208">
        <f>(ABS(O31)-ABS(E31))*60</f>
        <v>4.5066168684924435</v>
      </c>
      <c r="H31" s="3"/>
      <c r="L31" s="1"/>
      <c r="M31" s="187" t="s">
        <v>87</v>
      </c>
      <c r="N31" s="203">
        <f>DEGREES(N29)</f>
        <v>23.065217009064256</v>
      </c>
      <c r="O31" s="204">
        <f>DEGREES(O29)</f>
        <v>23.075110281141541</v>
      </c>
      <c r="P31" s="1"/>
      <c r="Q31" s="101"/>
      <c r="R31" s="1"/>
      <c r="S31" s="1"/>
      <c r="X31" s="64"/>
    </row>
    <row r="32" spans="1:24">
      <c r="A32" s="3"/>
      <c r="B32" s="70" t="s">
        <v>22</v>
      </c>
      <c r="C32" s="290">
        <f>IFERROR(ROUNDDOWN(U17,0)," ")</f>
        <v>338</v>
      </c>
      <c r="D32" s="212">
        <f>IFERROR((U17-C32)*60," ")</f>
        <v>49.047736172975647</v>
      </c>
      <c r="E32" s="399">
        <f>IFERROR(ROUNDDOWN(U28,0)," ")</f>
        <v>29</v>
      </c>
      <c r="F32" s="400"/>
      <c r="G32" s="209">
        <f>IFERROR((U28-E32)*60," ")</f>
        <v>5.2498770096845959</v>
      </c>
      <c r="H32" s="6"/>
      <c r="L32" s="1"/>
      <c r="P32" s="1"/>
      <c r="Q32" s="101"/>
      <c r="R32" s="100"/>
      <c r="S32" s="100"/>
      <c r="X32" s="64"/>
    </row>
    <row r="33" spans="1:27">
      <c r="A33" s="3"/>
      <c r="B33" s="69" t="s">
        <v>26</v>
      </c>
      <c r="C33" s="290">
        <f>IFERROR(INT(Az°)," ")</f>
        <v>116</v>
      </c>
      <c r="D33" s="212">
        <f>IFERROR((Az°-C33)*60," ")</f>
        <v>11.659300378359774</v>
      </c>
      <c r="E33" s="399">
        <f>IFERROR(INT(Az_°)," ")</f>
        <v>253</v>
      </c>
      <c r="F33" s="400"/>
      <c r="G33" s="209">
        <f>IFERROR((Az_°-E33)*60," ")</f>
        <v>1.9956220564711202</v>
      </c>
      <c r="H33" s="220"/>
      <c r="L33" s="1"/>
      <c r="P33" s="1"/>
      <c r="Q33" s="101"/>
      <c r="R33" s="100"/>
      <c r="S33" s="100"/>
      <c r="X33" s="64"/>
    </row>
    <row r="34" spans="1:27">
      <c r="A34" s="3"/>
      <c r="B34" s="71" t="s">
        <v>23</v>
      </c>
      <c r="C34" s="62">
        <f>L12</f>
        <v>68</v>
      </c>
      <c r="D34" s="213">
        <f>M12</f>
        <v>15.195101750863387</v>
      </c>
      <c r="E34" s="401">
        <f>N12</f>
        <v>62</v>
      </c>
      <c r="F34" s="402"/>
      <c r="G34" s="210">
        <f>O12</f>
        <v>7.2755842913645097</v>
      </c>
      <c r="H34" s="3"/>
      <c r="L34" s="92"/>
      <c r="P34" s="1"/>
      <c r="Q34" s="101"/>
      <c r="R34" s="100"/>
      <c r="S34" s="100"/>
      <c r="X34" s="64"/>
    </row>
    <row r="35" spans="1:27">
      <c r="Q35" s="100"/>
      <c r="R35" s="100"/>
      <c r="S35" s="100"/>
      <c r="X35" s="64"/>
    </row>
    <row r="36" spans="1:27">
      <c r="Q36" s="100"/>
      <c r="R36" s="100"/>
      <c r="S36" s="100"/>
      <c r="X36" s="64"/>
    </row>
    <row r="37" spans="1:27" ht="17">
      <c r="B37" s="109" t="s">
        <v>139</v>
      </c>
      <c r="Q37" s="100"/>
      <c r="R37" s="100"/>
      <c r="S37" s="336"/>
      <c r="T37" s="387" t="s">
        <v>56</v>
      </c>
      <c r="U37" s="388"/>
      <c r="V37" s="338">
        <v>1</v>
      </c>
      <c r="Y37" s="337"/>
    </row>
    <row r="38" spans="1:27">
      <c r="Q38" s="100"/>
      <c r="R38" s="100"/>
      <c r="S38" s="100"/>
      <c r="X38" s="64"/>
    </row>
    <row r="39" spans="1:27">
      <c r="Q39" s="100"/>
      <c r="R39" s="100"/>
      <c r="S39" s="100"/>
      <c r="X39" s="64"/>
    </row>
    <row r="40" spans="1:27">
      <c r="Q40" s="100"/>
      <c r="R40" s="100"/>
      <c r="S40" s="100"/>
      <c r="X40" s="64"/>
      <c r="AA40" s="339"/>
    </row>
    <row r="41" spans="1:27">
      <c r="Q41" s="100"/>
      <c r="R41" s="100"/>
      <c r="S41" s="100"/>
      <c r="X41" s="64"/>
    </row>
    <row r="42" spans="1:27">
      <c r="Q42" s="100"/>
      <c r="R42" s="100"/>
      <c r="S42" s="100"/>
      <c r="X42" s="64"/>
    </row>
    <row r="43" spans="1:27">
      <c r="Q43" s="100"/>
      <c r="R43" s="100"/>
      <c r="S43" s="100"/>
      <c r="X43" s="64"/>
    </row>
    <row r="44" spans="1:27">
      <c r="Q44" s="100"/>
      <c r="R44" s="100"/>
      <c r="S44" s="100"/>
      <c r="X44" s="64"/>
    </row>
    <row r="45" spans="1:27">
      <c r="Q45" s="100"/>
      <c r="R45" s="100"/>
      <c r="S45" s="100"/>
      <c r="X45" s="64"/>
    </row>
    <row r="46" spans="1:27">
      <c r="Q46" s="100"/>
      <c r="R46" s="100"/>
      <c r="S46" s="100"/>
      <c r="X46" s="64"/>
    </row>
    <row r="47" spans="1:27">
      <c r="Q47" s="100"/>
      <c r="R47" s="100"/>
      <c r="S47" s="100"/>
      <c r="X47" s="64"/>
    </row>
    <row r="48" spans="1:27">
      <c r="Q48" s="100"/>
      <c r="R48" s="100"/>
      <c r="S48" s="100"/>
      <c r="X48" s="64"/>
    </row>
    <row r="49" spans="17:33">
      <c r="Q49" s="100"/>
      <c r="R49" s="100"/>
      <c r="S49" s="100"/>
      <c r="X49" s="64"/>
    </row>
    <row r="50" spans="17:33">
      <c r="Q50" s="100"/>
      <c r="R50" s="100"/>
      <c r="S50" s="100"/>
      <c r="X50" s="64"/>
      <c r="AF50" s="329"/>
      <c r="AG50" s="329"/>
    </row>
    <row r="51" spans="17:33">
      <c r="Q51" s="100"/>
      <c r="R51" s="100"/>
      <c r="S51" s="100"/>
      <c r="X51" s="64"/>
      <c r="AF51" s="329"/>
      <c r="AG51" s="329"/>
    </row>
    <row r="52" spans="17:33">
      <c r="X52" s="64"/>
      <c r="AF52" s="329"/>
      <c r="AG52" s="329"/>
    </row>
    <row r="53" spans="17:33">
      <c r="X53" s="64"/>
    </row>
    <row r="54" spans="17:33">
      <c r="X54" s="64"/>
    </row>
    <row r="55" spans="17:33">
      <c r="X55" s="64"/>
    </row>
    <row r="56" spans="17:33">
      <c r="X56" s="64"/>
    </row>
    <row r="57" spans="17:33">
      <c r="X57" s="64"/>
    </row>
    <row r="58" spans="17:33">
      <c r="X58" s="64"/>
    </row>
    <row r="59" spans="17:33">
      <c r="X59" s="64"/>
    </row>
    <row r="60" spans="17:33">
      <c r="X60" s="64"/>
    </row>
    <row r="61" spans="17:33">
      <c r="X61" s="64"/>
    </row>
    <row r="62" spans="17:33">
      <c r="X62" s="64"/>
    </row>
    <row r="63" spans="17:33">
      <c r="X63" s="64"/>
    </row>
    <row r="64" spans="17:33">
      <c r="X64" s="64"/>
    </row>
    <row r="65" spans="24:24">
      <c r="X65" s="64"/>
    </row>
    <row r="66" spans="24:24">
      <c r="X66" s="64"/>
    </row>
    <row r="67" spans="24:24">
      <c r="X67" s="64"/>
    </row>
    <row r="68" spans="24:24">
      <c r="X68" s="64"/>
    </row>
    <row r="69" spans="24:24">
      <c r="X69" s="64"/>
    </row>
    <row r="70" spans="24:24">
      <c r="X70" s="64"/>
    </row>
    <row r="71" spans="24:24">
      <c r="X71" s="64"/>
    </row>
    <row r="72" spans="24:24">
      <c r="X72" s="64"/>
    </row>
    <row r="73" spans="24:24">
      <c r="X73" s="64"/>
    </row>
    <row r="74" spans="24:24">
      <c r="X74" s="64"/>
    </row>
    <row r="75" spans="24:24">
      <c r="X75" s="64"/>
    </row>
    <row r="76" spans="24:24">
      <c r="X76" s="64"/>
    </row>
    <row r="77" spans="24:24">
      <c r="X77" s="64"/>
    </row>
    <row r="78" spans="24:24">
      <c r="X78" s="64"/>
    </row>
    <row r="79" spans="24:24">
      <c r="X79" s="64"/>
    </row>
    <row r="80" spans="24:24">
      <c r="X80" s="64"/>
    </row>
  </sheetData>
  <sheetProtection algorithmName="SHA-512" hashValue="28VZzxEWF6ZWARoEQpqw7l/cyxbGNZrJFoOEdUo8W5IpQvkS1p92ZsmLUEPB/PEdgxgEvauf8KemUhr9T9IOyg==" saltValue="fa9NTfWacZcPiZGkELcn7g==" spinCount="100000" sheet="1" objects="1" scenarios="1" selectLockedCells="1"/>
  <mergeCells count="25">
    <mergeCell ref="E30:F30"/>
    <mergeCell ref="D6:G6"/>
    <mergeCell ref="L6:M6"/>
    <mergeCell ref="N6:O6"/>
    <mergeCell ref="D7:G7"/>
    <mergeCell ref="E21:F21"/>
    <mergeCell ref="E22:F22"/>
    <mergeCell ref="C21:D21"/>
    <mergeCell ref="D8:F8"/>
    <mergeCell ref="T37:U37"/>
    <mergeCell ref="G21:H21"/>
    <mergeCell ref="G12:H12"/>
    <mergeCell ref="G13:H13"/>
    <mergeCell ref="E17:G17"/>
    <mergeCell ref="Q19:Q20"/>
    <mergeCell ref="C20:E20"/>
    <mergeCell ref="G20:H20"/>
    <mergeCell ref="E31:F31"/>
    <mergeCell ref="E32:F32"/>
    <mergeCell ref="E33:F33"/>
    <mergeCell ref="E34:F34"/>
    <mergeCell ref="C26:D26"/>
    <mergeCell ref="F26:G26"/>
    <mergeCell ref="C29:D29"/>
    <mergeCell ref="E29:G29"/>
  </mergeCells>
  <pageMargins left="0.7" right="0.7" top="0.78740157499999996" bottom="0.78740157499999996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BE153-CB63-C74B-98F7-7BA9F0E28284}">
  <dimension ref="A1:T60"/>
  <sheetViews>
    <sheetView workbookViewId="0">
      <selection activeCell="H43" sqref="H43"/>
    </sheetView>
  </sheetViews>
  <sheetFormatPr baseColWidth="10" defaultRowHeight="16"/>
  <sheetData>
    <row r="1" spans="1:20" ht="17" thickBot="1">
      <c r="A1" s="3"/>
      <c r="B1" s="3"/>
      <c r="C1" s="3"/>
      <c r="D1" s="3"/>
      <c r="E1" s="3"/>
      <c r="F1" s="3"/>
      <c r="G1" s="3"/>
      <c r="H1" s="3"/>
      <c r="I1" s="108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1" thickBot="1">
      <c r="A2" s="3"/>
      <c r="B2" s="109" t="s">
        <v>54</v>
      </c>
      <c r="C2" s="3"/>
      <c r="D2" s="3"/>
      <c r="E2" s="3"/>
      <c r="F2" s="424" t="s">
        <v>55</v>
      </c>
      <c r="G2" s="425"/>
      <c r="H2" s="426"/>
      <c r="I2" s="108"/>
      <c r="M2" s="3"/>
      <c r="N2" s="3"/>
      <c r="O2" s="3"/>
      <c r="P2" s="3"/>
      <c r="Q2" s="3"/>
      <c r="R2" s="3"/>
      <c r="S2" s="3"/>
      <c r="T2" s="3"/>
    </row>
    <row r="3" spans="1:20" ht="20">
      <c r="A3" s="3"/>
      <c r="B3" s="3"/>
      <c r="C3" s="3"/>
      <c r="D3" s="3"/>
      <c r="E3" s="3"/>
      <c r="F3" s="3"/>
      <c r="G3" s="3"/>
      <c r="H3" s="3"/>
      <c r="I3" s="108"/>
      <c r="J3" s="110"/>
      <c r="K3" s="110"/>
      <c r="L3" s="110"/>
      <c r="M3" s="3"/>
      <c r="N3" s="3"/>
      <c r="O3" s="3"/>
      <c r="P3" s="3"/>
      <c r="Q3" s="3"/>
      <c r="R3" s="3"/>
      <c r="S3" s="3"/>
      <c r="T3" s="3"/>
    </row>
    <row r="4" spans="1:20" ht="20">
      <c r="A4" s="3"/>
      <c r="B4" s="3"/>
      <c r="C4" s="3"/>
      <c r="D4" s="3"/>
      <c r="E4" s="3"/>
      <c r="F4" s="3"/>
      <c r="G4" s="3"/>
      <c r="H4" s="3"/>
      <c r="I4" s="108"/>
      <c r="J4" s="110"/>
      <c r="K4" s="110"/>
      <c r="L4" s="110"/>
      <c r="M4" s="3"/>
      <c r="N4" s="3"/>
      <c r="O4" s="3"/>
      <c r="P4" s="3"/>
      <c r="Q4" s="3"/>
      <c r="R4" s="3"/>
      <c r="S4" s="3"/>
      <c r="T4" s="3"/>
    </row>
    <row r="5" spans="1:20" ht="16" customHeight="1">
      <c r="A5" s="3"/>
      <c r="B5" s="3"/>
      <c r="C5" s="3"/>
      <c r="D5" s="3"/>
      <c r="E5" s="3"/>
      <c r="F5" s="3"/>
      <c r="G5" s="3"/>
      <c r="H5" s="3"/>
      <c r="I5" s="108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6" customHeight="1" thickBot="1">
      <c r="A6" s="3"/>
      <c r="B6" s="3"/>
      <c r="C6" s="3"/>
      <c r="D6" s="3"/>
      <c r="E6" s="3"/>
      <c r="F6" s="3"/>
      <c r="G6" s="3"/>
      <c r="H6" s="3"/>
      <c r="I6" s="108"/>
      <c r="J6" s="14" t="s">
        <v>77</v>
      </c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6" customHeight="1">
      <c r="A7" s="3"/>
      <c r="B7" s="3"/>
      <c r="C7" s="3"/>
      <c r="D7" s="3"/>
      <c r="E7" s="3"/>
      <c r="F7" s="3"/>
      <c r="G7" s="3"/>
      <c r="H7" s="3"/>
      <c r="I7" s="108"/>
      <c r="J7" s="427" t="s">
        <v>57</v>
      </c>
      <c r="K7" s="428"/>
      <c r="L7" s="428"/>
      <c r="M7" s="111">
        <f>cmg</f>
        <v>240</v>
      </c>
      <c r="N7" s="112"/>
      <c r="O7" s="113"/>
      <c r="P7" s="3"/>
      <c r="Q7" s="3"/>
      <c r="R7" s="3"/>
      <c r="S7" s="3"/>
      <c r="T7" s="3"/>
    </row>
    <row r="8" spans="1:20" ht="16" customHeight="1">
      <c r="A8" s="3"/>
      <c r="B8" s="3"/>
      <c r="C8" s="3"/>
      <c r="D8" s="3"/>
      <c r="E8" s="3"/>
      <c r="F8" s="3"/>
      <c r="G8" s="3"/>
      <c r="H8" s="3"/>
      <c r="I8" s="108"/>
      <c r="J8" s="429" t="s">
        <v>58</v>
      </c>
      <c r="K8" s="430"/>
      <c r="L8" s="430"/>
      <c r="M8" s="114">
        <f>dmg</f>
        <v>18</v>
      </c>
      <c r="N8" s="115" t="s">
        <v>59</v>
      </c>
      <c r="O8" s="116"/>
      <c r="P8" s="3"/>
      <c r="Q8" s="3"/>
      <c r="R8" s="3"/>
      <c r="S8" s="3"/>
      <c r="T8" s="3"/>
    </row>
    <row r="9" spans="1:20" ht="16" customHeight="1">
      <c r="A9" s="3"/>
      <c r="B9" s="3"/>
      <c r="C9" s="3"/>
      <c r="D9" s="3"/>
      <c r="E9" s="3"/>
      <c r="F9" s="3"/>
      <c r="G9" s="3"/>
      <c r="H9" s="3"/>
      <c r="I9" s="108"/>
      <c r="J9" s="429" t="s">
        <v>60</v>
      </c>
      <c r="K9" s="430"/>
      <c r="L9" s="430"/>
      <c r="M9" s="114">
        <f>dmg*COS(RADIANS(cmg))</f>
        <v>-9.0000000000000071</v>
      </c>
      <c r="N9" s="117" t="s">
        <v>59</v>
      </c>
      <c r="O9" s="118">
        <f>M9/60</f>
        <v>-0.15000000000000011</v>
      </c>
      <c r="P9" s="3"/>
      <c r="Q9" s="3"/>
      <c r="R9" s="119"/>
      <c r="S9" s="3"/>
      <c r="T9" s="3"/>
    </row>
    <row r="10" spans="1:20" ht="16" customHeight="1">
      <c r="A10" s="3"/>
      <c r="B10" s="3"/>
      <c r="C10" s="3"/>
      <c r="D10" s="3"/>
      <c r="E10" s="3"/>
      <c r="F10" s="3"/>
      <c r="G10" s="3"/>
      <c r="H10" s="3"/>
      <c r="I10" s="108"/>
      <c r="J10" s="429" t="s">
        <v>69</v>
      </c>
      <c r="K10" s="430"/>
      <c r="L10" s="430"/>
      <c r="M10" s="114">
        <f>dmg*SIN(RADIANS(cmg))</f>
        <v>-15.588457268119891</v>
      </c>
      <c r="N10" s="117" t="s">
        <v>59</v>
      </c>
      <c r="O10" s="120">
        <f>M10/60/COS(RADIANS(lat))</f>
        <v>-0.31626133848711335</v>
      </c>
      <c r="P10" s="3"/>
      <c r="Q10" s="3"/>
      <c r="R10" s="119"/>
      <c r="S10" s="3"/>
      <c r="T10" s="3"/>
    </row>
    <row r="11" spans="1:20" ht="16" customHeight="1">
      <c r="A11" s="3"/>
      <c r="B11" s="3"/>
      <c r="C11" s="3"/>
      <c r="D11" s="3"/>
      <c r="E11" s="3"/>
      <c r="F11" s="3"/>
      <c r="G11" s="3"/>
      <c r="H11" s="3"/>
      <c r="I11" s="108"/>
      <c r="J11" s="121"/>
      <c r="K11" s="122"/>
      <c r="L11" s="123" t="s">
        <v>61</v>
      </c>
      <c r="M11" s="124">
        <f>ABS(BB)/40</f>
        <v>2.5000000000000001E-2</v>
      </c>
      <c r="N11" s="122"/>
      <c r="O11" s="125"/>
      <c r="P11" s="3"/>
      <c r="Q11" s="3"/>
      <c r="R11" s="3"/>
      <c r="S11" s="3"/>
      <c r="T11" s="3"/>
    </row>
    <row r="12" spans="1:20" ht="16" customHeight="1">
      <c r="A12" s="3"/>
      <c r="B12" s="3"/>
      <c r="C12" s="3"/>
      <c r="D12" s="3"/>
      <c r="E12" s="3"/>
      <c r="F12" s="3"/>
      <c r="G12" s="3"/>
      <c r="H12" s="3"/>
      <c r="I12" s="108"/>
      <c r="J12" s="126"/>
      <c r="K12" s="127"/>
      <c r="L12" s="128" t="s">
        <v>62</v>
      </c>
      <c r="M12" s="15" t="str">
        <f>IF(LHA°&gt;180,"E","W")</f>
        <v>E</v>
      </c>
      <c r="N12" s="127"/>
      <c r="O12" s="129"/>
      <c r="P12" s="3"/>
      <c r="Q12" s="3"/>
      <c r="R12" s="3"/>
      <c r="S12" s="3"/>
      <c r="T12" s="3"/>
    </row>
    <row r="13" spans="1:20" ht="16" customHeight="1" thickBot="1">
      <c r="A13" s="3"/>
      <c r="B13" s="3"/>
      <c r="C13" s="3"/>
      <c r="D13" s="3"/>
      <c r="E13" s="3"/>
      <c r="F13" s="3"/>
      <c r="G13" s="3"/>
      <c r="H13" s="3"/>
      <c r="I13" s="108"/>
      <c r="J13" s="130"/>
      <c r="K13" s="131"/>
      <c r="L13" s="132" t="s">
        <v>63</v>
      </c>
      <c r="M13" s="133" t="str">
        <f>IF(LHA°_&lt;180,"W","E")</f>
        <v>W</v>
      </c>
      <c r="N13" s="131"/>
      <c r="O13" s="134"/>
      <c r="P13" s="3"/>
      <c r="Q13" s="3"/>
      <c r="R13" s="3"/>
      <c r="S13" s="3"/>
      <c r="T13" s="3"/>
    </row>
    <row r="14" spans="1:20" ht="16" customHeight="1">
      <c r="A14" s="3"/>
      <c r="B14" s="3"/>
      <c r="C14" s="3"/>
      <c r="D14" s="3"/>
      <c r="E14" s="3"/>
      <c r="F14" s="3"/>
      <c r="G14" s="3"/>
      <c r="H14" s="3"/>
      <c r="I14" s="108"/>
      <c r="J14" s="3"/>
      <c r="K14" s="3"/>
      <c r="L14" s="3"/>
      <c r="M14" s="3"/>
      <c r="N14" s="3"/>
      <c r="O14" s="3"/>
      <c r="P14" s="3"/>
      <c r="Q14" s="3"/>
      <c r="R14" s="35"/>
      <c r="S14" s="3"/>
      <c r="T14" s="3"/>
    </row>
    <row r="15" spans="1:20" ht="16" customHeight="1" thickBot="1">
      <c r="A15" s="3"/>
      <c r="B15" s="3"/>
      <c r="C15" s="3"/>
      <c r="D15" s="3"/>
      <c r="E15" s="3"/>
      <c r="F15" s="3"/>
      <c r="G15" s="3"/>
      <c r="H15" s="3"/>
      <c r="I15" s="108"/>
      <c r="J15" s="14" t="s">
        <v>64</v>
      </c>
      <c r="K15" s="35"/>
      <c r="L15" s="35"/>
      <c r="M15" s="35"/>
      <c r="N15" s="35"/>
      <c r="O15" s="35"/>
      <c r="P15" s="35"/>
      <c r="Q15" s="35"/>
      <c r="R15" s="35"/>
      <c r="S15" s="3"/>
      <c r="T15" s="3"/>
    </row>
    <row r="16" spans="1:20" ht="16" customHeight="1" thickBot="1">
      <c r="A16" s="3"/>
      <c r="B16" s="3"/>
      <c r="C16" s="3"/>
      <c r="D16" s="3"/>
      <c r="E16" s="3"/>
      <c r="F16" s="3"/>
      <c r="G16" s="3"/>
      <c r="H16" s="3"/>
      <c r="I16" s="108"/>
      <c r="J16" s="135" t="s">
        <v>65</v>
      </c>
      <c r="K16" s="136" t="s">
        <v>70</v>
      </c>
      <c r="L16" s="172" t="s">
        <v>71</v>
      </c>
      <c r="M16" s="172" t="s">
        <v>72</v>
      </c>
      <c r="N16" s="172" t="s">
        <v>73</v>
      </c>
      <c r="O16" s="137" t="s">
        <v>74</v>
      </c>
      <c r="P16" s="137" t="s">
        <v>75</v>
      </c>
      <c r="Q16" s="138" t="s">
        <v>66</v>
      </c>
      <c r="R16" s="173" t="s">
        <v>76</v>
      </c>
      <c r="S16" s="3"/>
      <c r="T16" s="3"/>
    </row>
    <row r="17" spans="1:20" ht="16" customHeight="1">
      <c r="A17" s="3"/>
      <c r="B17" s="3"/>
      <c r="C17" s="3"/>
      <c r="D17" s="3"/>
      <c r="E17" s="3"/>
      <c r="F17" s="3"/>
      <c r="G17" s="3"/>
      <c r="H17" s="3"/>
      <c r="I17" s="108"/>
      <c r="J17" s="139"/>
      <c r="K17" s="140"/>
      <c r="L17" s="140"/>
      <c r="M17" s="140"/>
      <c r="N17" s="140"/>
      <c r="O17" s="141"/>
      <c r="P17" s="142"/>
      <c r="Q17" s="143"/>
      <c r="R17" s="144"/>
      <c r="S17" s="3"/>
      <c r="T17" s="3"/>
    </row>
    <row r="18" spans="1:20" ht="16" customHeight="1">
      <c r="A18" s="3"/>
      <c r="B18" s="3"/>
      <c r="C18" s="3"/>
      <c r="D18" s="3"/>
      <c r="E18" s="3"/>
      <c r="F18" s="3"/>
      <c r="G18" s="3"/>
      <c r="H18" s="3"/>
      <c r="I18" s="108"/>
      <c r="J18" s="145">
        <f>J19+$M$11</f>
        <v>35.340106842149552</v>
      </c>
      <c r="K18" s="146">
        <f t="shared" ref="K18:K58" si="0">RADIANS(J18)</f>
        <v>0.61680122240208568</v>
      </c>
      <c r="L18" s="146">
        <f>IFERROR(DEGREES(grt+IF(B="W",-1,1)*ACOS((SIN(h)-SIN(d)*SIN(K18))/COS(d)/COS(K18))),#N/A)</f>
        <v>372.05092835646451</v>
      </c>
      <c r="M18" s="146">
        <f>IFERROR(DEGREES(grt_+IF(B_="W",-1,1)*ACOS((SIN(h_)-SIN(d_)*SIN(K18))/COS(d_)/COS(K18))),#N/A)</f>
        <v>12.872461937996158</v>
      </c>
      <c r="N18" s="146">
        <f t="shared" ref="N18:N58" si="1">IFERROR(DEGREES(grt+IF(B="W",-1,1)*ACOS((SIN(hs)-SIN(d)*SIN(K18))/COS(d)/COS(K18))),#N/A)</f>
        <v>372.28396777330562</v>
      </c>
      <c r="O18" s="147">
        <f t="shared" ref="O18:Q40" si="2">IF(L18&lt;0,ABS(L18),IF(L18&gt;360,-(L18-360),IF(AND(L18&gt;180,L18&lt;360),360-L18,-L18)))</f>
        <v>-12.05092835646451</v>
      </c>
      <c r="P18" s="148">
        <f>IF(M18&lt;0,ABS(M18),IF(M18&gt;360,-(M18-360),IF(AND(M18&gt;180,M18&lt;360),360-M18,-M18)))</f>
        <v>-12.872461937996158</v>
      </c>
      <c r="Q18" s="149">
        <f>IF(N18&lt;0,ABS(N18),IF(N18&gt;360,-(N18-360),IF(AND(N18&gt;180,N18&lt;360),360-N18,-N18)))</f>
        <v>-12.283967773305619</v>
      </c>
      <c r="R18" s="150"/>
      <c r="S18" s="3"/>
      <c r="T18" s="3"/>
    </row>
    <row r="19" spans="1:20" ht="16" customHeight="1">
      <c r="A19" s="3"/>
      <c r="B19" s="3"/>
      <c r="C19" s="3"/>
      <c r="D19" s="3"/>
      <c r="E19" s="3"/>
      <c r="F19" s="3"/>
      <c r="G19" s="3"/>
      <c r="H19" s="3"/>
      <c r="I19" s="108"/>
      <c r="J19" s="145">
        <f>J20+$M$11</f>
        <v>35.315106842149554</v>
      </c>
      <c r="K19" s="146">
        <f t="shared" si="0"/>
        <v>0.61636489008908713</v>
      </c>
      <c r="L19" s="146">
        <f t="shared" ref="L19:L42" si="3">IFERROR(DEGREES(grt+IF(B="W",-1,1)*ACOS((SIN(h)-SIN(d)*SIN(K19))/COS(d)/COS(K19))),#N/A)</f>
        <v>372.06772820330053</v>
      </c>
      <c r="M19" s="146">
        <f t="shared" ref="M19:M58" si="4">IFERROR(DEGREES(grt_+IF(B_="W",-1,1)*ACOS((SIN(h_)-SIN(d_)*SIN(K19))/COS(d_)/COS(K19))),#N/A)</f>
        <v>12.862382854932481</v>
      </c>
      <c r="N19" s="146">
        <f t="shared" si="1"/>
        <v>372.30051709091293</v>
      </c>
      <c r="O19" s="147">
        <f t="shared" si="2"/>
        <v>-12.067728203300533</v>
      </c>
      <c r="P19" s="148">
        <f t="shared" si="2"/>
        <v>-12.862382854932481</v>
      </c>
      <c r="Q19" s="149">
        <f t="shared" si="2"/>
        <v>-12.300517090912933</v>
      </c>
      <c r="R19" s="150"/>
      <c r="S19" s="3"/>
      <c r="T19" s="3"/>
    </row>
    <row r="20" spans="1:20" ht="16" customHeight="1">
      <c r="A20" s="3"/>
      <c r="B20" s="3"/>
      <c r="C20" s="3"/>
      <c r="D20" s="3"/>
      <c r="E20" s="3"/>
      <c r="F20" s="3"/>
      <c r="G20" s="3"/>
      <c r="H20" s="3"/>
      <c r="I20" s="108"/>
      <c r="J20" s="145">
        <f t="shared" ref="J20:J35" si="5">J21+$M$11</f>
        <v>35.290106842149555</v>
      </c>
      <c r="K20" s="146">
        <f t="shared" si="0"/>
        <v>0.61592855777608857</v>
      </c>
      <c r="L20" s="146">
        <f t="shared" si="3"/>
        <v>372.08446648026791</v>
      </c>
      <c r="M20" s="146">
        <f t="shared" si="4"/>
        <v>12.852339794268154</v>
      </c>
      <c r="N20" s="146">
        <f t="shared" si="1"/>
        <v>372.31700598169897</v>
      </c>
      <c r="O20" s="147">
        <f t="shared" si="2"/>
        <v>-12.084466480267906</v>
      </c>
      <c r="P20" s="148">
        <f t="shared" si="2"/>
        <v>-12.852339794268154</v>
      </c>
      <c r="Q20" s="149">
        <f t="shared" si="2"/>
        <v>-12.317005981698969</v>
      </c>
      <c r="R20" s="150"/>
      <c r="S20" s="3"/>
      <c r="T20" s="3"/>
    </row>
    <row r="21" spans="1:20" ht="16" customHeight="1">
      <c r="A21" s="3"/>
      <c r="B21" s="3"/>
      <c r="C21" s="3"/>
      <c r="D21" s="3"/>
      <c r="E21" s="3"/>
      <c r="F21" s="3"/>
      <c r="G21" s="3"/>
      <c r="H21" s="3"/>
      <c r="I21" s="108"/>
      <c r="J21" s="145">
        <f t="shared" si="5"/>
        <v>35.265106842149557</v>
      </c>
      <c r="K21" s="146">
        <f t="shared" si="0"/>
        <v>0.61549222546309001</v>
      </c>
      <c r="L21" s="146">
        <f t="shared" si="3"/>
        <v>372.10114338276844</v>
      </c>
      <c r="M21" s="146">
        <f t="shared" si="4"/>
        <v>12.842332687161015</v>
      </c>
      <c r="N21" s="146">
        <f t="shared" si="1"/>
        <v>372.33343463394266</v>
      </c>
      <c r="O21" s="147">
        <f t="shared" si="2"/>
        <v>-12.101143382768441</v>
      </c>
      <c r="P21" s="148">
        <f t="shared" si="2"/>
        <v>-12.842332687161015</v>
      </c>
      <c r="Q21" s="149">
        <f t="shared" si="2"/>
        <v>-12.333434633942659</v>
      </c>
      <c r="R21" s="150"/>
      <c r="S21" s="3"/>
      <c r="T21" s="3"/>
    </row>
    <row r="22" spans="1:20" ht="16" customHeight="1">
      <c r="A22" s="3"/>
      <c r="B22" s="3"/>
      <c r="C22" s="3"/>
      <c r="D22" s="3"/>
      <c r="E22" s="3"/>
      <c r="F22" s="3"/>
      <c r="G22" s="3"/>
      <c r="H22" s="3"/>
      <c r="I22" s="108"/>
      <c r="J22" s="145">
        <f t="shared" si="5"/>
        <v>35.240106842149558</v>
      </c>
      <c r="K22" s="146">
        <f t="shared" si="0"/>
        <v>0.61505589315009146</v>
      </c>
      <c r="L22" s="146">
        <f t="shared" si="3"/>
        <v>372.11775910494305</v>
      </c>
      <c r="M22" s="146">
        <f t="shared" si="4"/>
        <v>12.832361465057501</v>
      </c>
      <c r="N22" s="146">
        <f t="shared" si="1"/>
        <v>372.3498032347278</v>
      </c>
      <c r="O22" s="147">
        <f t="shared" si="2"/>
        <v>-12.117759104943048</v>
      </c>
      <c r="P22" s="148">
        <f t="shared" si="2"/>
        <v>-12.832361465057501</v>
      </c>
      <c r="Q22" s="149">
        <f t="shared" si="2"/>
        <v>-12.349803234727801</v>
      </c>
      <c r="R22" s="150"/>
      <c r="S22" s="3"/>
      <c r="T22" s="3"/>
    </row>
    <row r="23" spans="1:20" ht="16" customHeight="1">
      <c r="A23" s="3"/>
      <c r="B23" s="3"/>
      <c r="C23" s="3"/>
      <c r="D23" s="3"/>
      <c r="E23" s="3"/>
      <c r="F23" s="3"/>
      <c r="G23" s="3"/>
      <c r="H23" s="3"/>
      <c r="I23" s="108"/>
      <c r="J23" s="145">
        <f t="shared" si="5"/>
        <v>35.215106842149559</v>
      </c>
      <c r="K23" s="146">
        <f t="shared" si="0"/>
        <v>0.6146195608370929</v>
      </c>
      <c r="L23" s="146">
        <f t="shared" si="3"/>
        <v>372.13431383968299</v>
      </c>
      <c r="M23" s="146">
        <f t="shared" si="4"/>
        <v>12.822426059691153</v>
      </c>
      <c r="N23" s="146">
        <f t="shared" si="1"/>
        <v>372.36611196995295</v>
      </c>
      <c r="O23" s="147">
        <f t="shared" si="2"/>
        <v>-12.134313839682989</v>
      </c>
      <c r="P23" s="148">
        <f t="shared" si="2"/>
        <v>-12.822426059691153</v>
      </c>
      <c r="Q23" s="149">
        <f t="shared" si="2"/>
        <v>-12.366111969952954</v>
      </c>
      <c r="R23" s="150"/>
      <c r="S23" s="3"/>
      <c r="T23" s="3"/>
    </row>
    <row r="24" spans="1:20" ht="16" customHeight="1">
      <c r="A24" s="3"/>
      <c r="B24" s="3"/>
      <c r="C24" s="3"/>
      <c r="D24" s="3"/>
      <c r="E24" s="3"/>
      <c r="F24" s="3"/>
      <c r="G24" s="3"/>
      <c r="H24" s="3"/>
      <c r="I24" s="108"/>
      <c r="J24" s="145">
        <f t="shared" si="5"/>
        <v>35.190106842149561</v>
      </c>
      <c r="K24" s="146">
        <f t="shared" si="0"/>
        <v>0.61418322852409435</v>
      </c>
      <c r="L24" s="146">
        <f t="shared" si="3"/>
        <v>372.15080777864034</v>
      </c>
      <c r="M24" s="146">
        <f t="shared" si="4"/>
        <v>12.812526403081165</v>
      </c>
      <c r="N24" s="146">
        <f t="shared" si="1"/>
        <v>372.38236102434178</v>
      </c>
      <c r="O24" s="147">
        <f t="shared" si="2"/>
        <v>-12.150807778640342</v>
      </c>
      <c r="P24" s="148">
        <f t="shared" si="2"/>
        <v>-12.812526403081165</v>
      </c>
      <c r="Q24" s="149">
        <f t="shared" si="2"/>
        <v>-12.382361024341776</v>
      </c>
      <c r="R24" s="150"/>
      <c r="S24" s="3"/>
      <c r="T24" s="3"/>
    </row>
    <row r="25" spans="1:20" ht="16" customHeight="1">
      <c r="A25" s="3"/>
      <c r="B25" s="3"/>
      <c r="C25" s="3"/>
      <c r="D25" s="3"/>
      <c r="E25" s="3"/>
      <c r="F25" s="3"/>
      <c r="G25" s="3"/>
      <c r="H25" s="3"/>
      <c r="I25" s="66"/>
      <c r="J25" s="145">
        <f t="shared" si="5"/>
        <v>35.165106842149562</v>
      </c>
      <c r="K25" s="146">
        <f t="shared" si="0"/>
        <v>0.61374689621109579</v>
      </c>
      <c r="L25" s="146">
        <f t="shared" si="3"/>
        <v>372.1672411122392</v>
      </c>
      <c r="M25" s="146">
        <f t="shared" si="4"/>
        <v>12.802662427530997</v>
      </c>
      <c r="N25" s="146">
        <f t="shared" si="1"/>
        <v>372.39855058145275</v>
      </c>
      <c r="O25" s="147">
        <f t="shared" si="2"/>
        <v>-12.167241112239196</v>
      </c>
      <c r="P25" s="148">
        <f t="shared" si="2"/>
        <v>-12.802662427530997</v>
      </c>
      <c r="Q25" s="149">
        <f t="shared" si="2"/>
        <v>-12.398550581452753</v>
      </c>
      <c r="R25" s="150"/>
      <c r="S25" s="3"/>
      <c r="T25" s="3"/>
    </row>
    <row r="26" spans="1:20" ht="16" customHeight="1">
      <c r="A26" s="3"/>
      <c r="B26" s="3"/>
      <c r="C26" s="3"/>
      <c r="D26" s="3"/>
      <c r="E26" s="3"/>
      <c r="F26" s="3"/>
      <c r="G26" s="3"/>
      <c r="H26" s="3"/>
      <c r="I26" s="108"/>
      <c r="J26" s="145">
        <f>J27+$M$11</f>
        <v>35.140106842149564</v>
      </c>
      <c r="K26" s="146">
        <f t="shared" si="0"/>
        <v>0.61331056389809724</v>
      </c>
      <c r="L26" s="146">
        <f t="shared" si="3"/>
        <v>372.1836140296856</v>
      </c>
      <c r="M26" s="146">
        <f t="shared" si="4"/>
        <v>12.792834065626856</v>
      </c>
      <c r="N26" s="146">
        <f t="shared" si="1"/>
        <v>372.41468082368931</v>
      </c>
      <c r="O26" s="147">
        <f t="shared" si="2"/>
        <v>-12.1836140296856</v>
      </c>
      <c r="P26" s="148">
        <f t="shared" si="2"/>
        <v>-12.792834065626856</v>
      </c>
      <c r="Q26" s="149">
        <f t="shared" si="2"/>
        <v>-12.414680823689309</v>
      </c>
      <c r="R26" s="150"/>
      <c r="S26" s="3"/>
      <c r="T26" s="3"/>
    </row>
    <row r="27" spans="1:20" ht="16" customHeight="1">
      <c r="A27" s="3"/>
      <c r="B27" s="3"/>
      <c r="C27" s="3"/>
      <c r="D27" s="3"/>
      <c r="E27" s="3"/>
      <c r="F27" s="3"/>
      <c r="G27" s="3"/>
      <c r="H27" s="3"/>
      <c r="I27" s="108"/>
      <c r="J27" s="145">
        <f t="shared" si="5"/>
        <v>35.115106842149565</v>
      </c>
      <c r="K27" s="146">
        <f t="shared" si="0"/>
        <v>0.61287423158509868</v>
      </c>
      <c r="L27" s="146">
        <f t="shared" si="3"/>
        <v>372.19992671897887</v>
      </c>
      <c r="M27" s="146">
        <f t="shared" si="4"/>
        <v>12.783041250236318</v>
      </c>
      <c r="N27" s="146">
        <f t="shared" si="1"/>
        <v>372.43075193230919</v>
      </c>
      <c r="O27" s="147">
        <f t="shared" si="2"/>
        <v>-12.199926718978872</v>
      </c>
      <c r="P27" s="148">
        <f t="shared" si="2"/>
        <v>-12.783041250236318</v>
      </c>
      <c r="Q27" s="149">
        <f t="shared" si="2"/>
        <v>-12.430751932309192</v>
      </c>
      <c r="R27" s="150"/>
      <c r="S27" s="3"/>
      <c r="T27" s="3"/>
    </row>
    <row r="28" spans="1:20" ht="16" customHeight="1">
      <c r="A28" s="3"/>
      <c r="B28" s="3"/>
      <c r="C28" s="3"/>
      <c r="D28" s="3"/>
      <c r="E28" s="3"/>
      <c r="F28" s="3"/>
      <c r="G28" s="3"/>
      <c r="H28" s="3"/>
      <c r="I28" s="108"/>
      <c r="J28" s="145">
        <f t="shared" si="5"/>
        <v>35.090106842149567</v>
      </c>
      <c r="K28" s="146">
        <f t="shared" si="0"/>
        <v>0.61243789927210013</v>
      </c>
      <c r="L28" s="146">
        <f t="shared" si="3"/>
        <v>372.2161793669211</v>
      </c>
      <c r="M28" s="146">
        <f t="shared" si="4"/>
        <v>12.773283914506921</v>
      </c>
      <c r="N28" s="146">
        <f t="shared" si="1"/>
        <v>372.44676408743476</v>
      </c>
      <c r="O28" s="147">
        <f t="shared" si="2"/>
        <v>-12.216179366921097</v>
      </c>
      <c r="P28" s="148">
        <f t="shared" si="2"/>
        <v>-12.773283914506921</v>
      </c>
      <c r="Q28" s="149">
        <f t="shared" si="2"/>
        <v>-12.446764087434758</v>
      </c>
      <c r="R28" s="150"/>
      <c r="S28" s="3"/>
      <c r="T28" s="3"/>
    </row>
    <row r="29" spans="1:20" ht="16" customHeight="1">
      <c r="A29" s="3"/>
      <c r="B29" s="3"/>
      <c r="C29" s="3"/>
      <c r="D29" s="3"/>
      <c r="E29" s="3"/>
      <c r="F29" s="3"/>
      <c r="G29" s="3"/>
      <c r="H29" s="3"/>
      <c r="I29" s="108"/>
      <c r="J29" s="145">
        <f t="shared" si="5"/>
        <v>35.065106842149568</v>
      </c>
      <c r="K29" s="146">
        <f t="shared" si="0"/>
        <v>0.61200156695910157</v>
      </c>
      <c r="L29" s="146">
        <f t="shared" si="3"/>
        <v>372.23237215912798</v>
      </c>
      <c r="M29" s="146">
        <f t="shared" si="4"/>
        <v>12.763561991864684</v>
      </c>
      <c r="N29" s="146">
        <f t="shared" si="1"/>
        <v>372.46271746806167</v>
      </c>
      <c r="O29" s="147">
        <f t="shared" si="2"/>
        <v>-12.232372159127976</v>
      </c>
      <c r="P29" s="148">
        <f t="shared" si="2"/>
        <v>-12.763561991864684</v>
      </c>
      <c r="Q29" s="149">
        <f t="shared" si="2"/>
        <v>-12.462717468061669</v>
      </c>
      <c r="R29" s="150"/>
      <c r="S29" s="3"/>
      <c r="T29" s="3"/>
    </row>
    <row r="30" spans="1:20" ht="16" customHeight="1">
      <c r="A30" s="3"/>
      <c r="B30" s="3"/>
      <c r="C30" s="3"/>
      <c r="D30" s="3"/>
      <c r="E30" s="3"/>
      <c r="F30" s="3"/>
      <c r="G30" s="3"/>
      <c r="H30" s="3"/>
      <c r="I30" s="108"/>
      <c r="J30" s="145">
        <f t="shared" si="5"/>
        <v>35.040106842149569</v>
      </c>
      <c r="K30" s="146">
        <f t="shared" si="0"/>
        <v>0.61156523464610302</v>
      </c>
      <c r="L30" s="146">
        <f t="shared" si="3"/>
        <v>372.24850528003867</v>
      </c>
      <c r="M30" s="146">
        <f t="shared" si="4"/>
        <v>12.753875416012875</v>
      </c>
      <c r="N30" s="146">
        <f t="shared" si="1"/>
        <v>372.47861225206913</v>
      </c>
      <c r="O30" s="147">
        <f t="shared" si="2"/>
        <v>-12.248505280038671</v>
      </c>
      <c r="P30" s="148">
        <f t="shared" si="2"/>
        <v>-12.753875416012875</v>
      </c>
      <c r="Q30" s="149">
        <f t="shared" si="2"/>
        <v>-12.478612252069126</v>
      </c>
      <c r="R30" s="150"/>
      <c r="S30" s="3"/>
      <c r="T30" s="3"/>
    </row>
    <row r="31" spans="1:20" ht="16" customHeight="1">
      <c r="A31" s="3"/>
      <c r="B31" s="3"/>
      <c r="C31" s="3"/>
      <c r="D31" s="3"/>
      <c r="E31" s="3"/>
      <c r="F31" s="3"/>
      <c r="G31" s="3"/>
      <c r="H31" s="3"/>
      <c r="I31" s="108"/>
      <c r="J31" s="145">
        <f t="shared" si="5"/>
        <v>35.015106842149571</v>
      </c>
      <c r="K31" s="146">
        <f t="shared" si="0"/>
        <v>0.61112890233310446</v>
      </c>
      <c r="L31" s="146">
        <f t="shared" si="3"/>
        <v>372.26457891292586</v>
      </c>
      <c r="M31" s="146">
        <f t="shared" si="4"/>
        <v>12.744224120930383</v>
      </c>
      <c r="N31" s="146">
        <f t="shared" si="1"/>
        <v>372.49444861622862</v>
      </c>
      <c r="O31" s="147">
        <f t="shared" si="2"/>
        <v>-12.264578912925856</v>
      </c>
      <c r="P31" s="148">
        <f t="shared" si="2"/>
        <v>-12.744224120930383</v>
      </c>
      <c r="Q31" s="149">
        <f t="shared" si="2"/>
        <v>-12.494448616228624</v>
      </c>
      <c r="R31" s="150"/>
      <c r="S31" s="3"/>
      <c r="T31" s="3"/>
    </row>
    <row r="32" spans="1:20" ht="16" customHeight="1">
      <c r="A32" s="3"/>
      <c r="B32" s="3"/>
      <c r="C32" s="3"/>
      <c r="D32" s="3"/>
      <c r="E32" s="3"/>
      <c r="F32" s="3"/>
      <c r="G32" s="3"/>
      <c r="H32" s="3"/>
      <c r="I32" s="108"/>
      <c r="J32" s="145">
        <f t="shared" si="5"/>
        <v>34.990106842149572</v>
      </c>
      <c r="K32" s="146">
        <f t="shared" si="0"/>
        <v>0.61069257002010591</v>
      </c>
      <c r="L32" s="146">
        <f t="shared" si="3"/>
        <v>372.2805932399055</v>
      </c>
      <c r="M32" s="146">
        <f t="shared" si="4"/>
        <v>12.734608040870597</v>
      </c>
      <c r="N32" s="146">
        <f t="shared" si="1"/>
        <v>372.51022673621338</v>
      </c>
      <c r="O32" s="147">
        <f t="shared" si="2"/>
        <v>-12.2805932399055</v>
      </c>
      <c r="P32" s="148">
        <f t="shared" si="2"/>
        <v>-12.734608040870597</v>
      </c>
      <c r="Q32" s="149">
        <f t="shared" si="2"/>
        <v>-12.510226736213383</v>
      </c>
      <c r="R32" s="150"/>
      <c r="S32" s="3"/>
      <c r="T32" s="3"/>
    </row>
    <row r="33" spans="1:20" ht="16" customHeight="1">
      <c r="A33" s="3"/>
      <c r="B33" s="3"/>
      <c r="C33" s="3"/>
      <c r="D33" s="3"/>
      <c r="E33" s="3"/>
      <c r="F33" s="3"/>
      <c r="G33" s="3"/>
      <c r="H33" s="3"/>
      <c r="I33" s="108"/>
      <c r="J33" s="145">
        <f t="shared" si="5"/>
        <v>34.965106842149574</v>
      </c>
      <c r="K33" s="146">
        <f t="shared" si="0"/>
        <v>0.61025623770710724</v>
      </c>
      <c r="L33" s="146">
        <f t="shared" si="3"/>
        <v>372.29654844194704</v>
      </c>
      <c r="M33" s="146">
        <f t="shared" si="4"/>
        <v>12.725027110359818</v>
      </c>
      <c r="N33" s="146">
        <f t="shared" si="1"/>
        <v>372.52594678660756</v>
      </c>
      <c r="O33" s="147">
        <f t="shared" si="2"/>
        <v>-12.296548441947039</v>
      </c>
      <c r="P33" s="148">
        <f t="shared" si="2"/>
        <v>-12.725027110359818</v>
      </c>
      <c r="Q33" s="149">
        <f t="shared" si="2"/>
        <v>-12.525946786607562</v>
      </c>
      <c r="R33" s="150"/>
      <c r="S33" s="3"/>
      <c r="T33" s="3"/>
    </row>
    <row r="34" spans="1:20" ht="16" customHeight="1">
      <c r="A34" s="3"/>
      <c r="B34" s="3"/>
      <c r="C34" s="3"/>
      <c r="D34" s="3"/>
      <c r="E34" s="3"/>
      <c r="F34" s="3"/>
      <c r="G34" s="3"/>
      <c r="H34" s="3"/>
      <c r="I34" s="108"/>
      <c r="J34" s="145">
        <f t="shared" si="5"/>
        <v>34.940106842149575</v>
      </c>
      <c r="K34" s="146">
        <f t="shared" si="0"/>
        <v>0.60981990539410869</v>
      </c>
      <c r="L34" s="146">
        <f t="shared" si="3"/>
        <v>372.31244469888247</v>
      </c>
      <c r="M34" s="146">
        <f t="shared" si="4"/>
        <v>12.7154812641961</v>
      </c>
      <c r="N34" s="146">
        <f t="shared" si="1"/>
        <v>372.54160894091518</v>
      </c>
      <c r="O34" s="147">
        <f t="shared" si="2"/>
        <v>-12.312444698882473</v>
      </c>
      <c r="P34" s="148">
        <f t="shared" si="2"/>
        <v>-12.7154812641961</v>
      </c>
      <c r="Q34" s="149">
        <f t="shared" si="2"/>
        <v>-12.541608940915182</v>
      </c>
      <c r="R34" s="150"/>
      <c r="S34" s="3"/>
      <c r="T34" s="3"/>
    </row>
    <row r="35" spans="1:20" ht="16" customHeight="1">
      <c r="A35" s="3"/>
      <c r="B35" s="3"/>
      <c r="C35" s="3"/>
      <c r="D35" s="3"/>
      <c r="E35" s="3"/>
      <c r="F35" s="3"/>
      <c r="G35" s="3"/>
      <c r="H35" s="3"/>
      <c r="I35" s="108"/>
      <c r="J35" s="145">
        <f t="shared" si="5"/>
        <v>34.915106842149576</v>
      </c>
      <c r="K35" s="146">
        <f t="shared" si="0"/>
        <v>0.60938357308111013</v>
      </c>
      <c r="L35" s="146">
        <f t="shared" si="3"/>
        <v>372.32828218941631</v>
      </c>
      <c r="M35" s="146">
        <f t="shared" si="4"/>
        <v>12.705970437447707</v>
      </c>
      <c r="N35" s="146">
        <f t="shared" si="1"/>
        <v>372.55721337156899</v>
      </c>
      <c r="O35" s="147">
        <f t="shared" si="2"/>
        <v>-12.328282189416313</v>
      </c>
      <c r="P35" s="148">
        <f t="shared" si="2"/>
        <v>-12.705970437447707</v>
      </c>
      <c r="Q35" s="149">
        <f t="shared" si="2"/>
        <v>-12.557213371568992</v>
      </c>
      <c r="R35" s="150"/>
      <c r="S35" s="3"/>
      <c r="T35" s="3"/>
    </row>
    <row r="36" spans="1:20">
      <c r="A36" s="3"/>
      <c r="B36" s="3"/>
      <c r="C36" s="3"/>
      <c r="D36" s="3"/>
      <c r="E36" s="3"/>
      <c r="F36" s="3"/>
      <c r="G36" s="3"/>
      <c r="H36" s="3"/>
      <c r="I36" s="108"/>
      <c r="J36" s="145">
        <f>J37+$M$11</f>
        <v>34.890106842149578</v>
      </c>
      <c r="K36" s="146">
        <f t="shared" si="0"/>
        <v>0.60894724076811158</v>
      </c>
      <c r="L36" s="146">
        <f t="shared" si="3"/>
        <v>372.34406109113507</v>
      </c>
      <c r="M36" s="146">
        <f t="shared" si="4"/>
        <v>12.696494565451889</v>
      </c>
      <c r="N36" s="146">
        <f t="shared" si="1"/>
        <v>372.57276024993939</v>
      </c>
      <c r="O36" s="147">
        <f t="shared" si="2"/>
        <v>-12.344061091135075</v>
      </c>
      <c r="P36" s="148">
        <f t="shared" si="2"/>
        <v>-12.696494565451889</v>
      </c>
      <c r="Q36" s="149">
        <f t="shared" si="2"/>
        <v>-12.572760249939392</v>
      </c>
      <c r="R36" s="150"/>
      <c r="S36" s="3"/>
      <c r="T36" s="3"/>
    </row>
    <row r="37" spans="1:20">
      <c r="A37" s="3"/>
      <c r="B37" s="3"/>
      <c r="C37" s="3"/>
      <c r="D37" s="3"/>
      <c r="E37" s="3"/>
      <c r="F37" s="3"/>
      <c r="G37" s="3"/>
      <c r="H37" s="3"/>
      <c r="I37" s="108"/>
      <c r="J37" s="145">
        <f>J38+$M$11</f>
        <v>34.865106842149579</v>
      </c>
      <c r="K37" s="146">
        <f>RADIANS(J37)</f>
        <v>0.60851090845511302</v>
      </c>
      <c r="L37" s="146">
        <f t="shared" si="3"/>
        <v>372.35978158051626</v>
      </c>
      <c r="M37" s="146">
        <f t="shared" si="4"/>
        <v>12.687053583813572</v>
      </c>
      <c r="N37" s="146">
        <f t="shared" si="1"/>
        <v>372.58824974634302</v>
      </c>
      <c r="O37" s="147">
        <f t="shared" si="2"/>
        <v>-12.359781580516255</v>
      </c>
      <c r="P37" s="148">
        <f t="shared" si="2"/>
        <v>-12.687053583813572</v>
      </c>
      <c r="Q37" s="149">
        <f t="shared" si="2"/>
        <v>-12.588249746343024</v>
      </c>
      <c r="R37" s="150"/>
      <c r="S37" s="3"/>
      <c r="T37" s="3"/>
    </row>
    <row r="38" spans="1:20">
      <c r="A38" s="3"/>
      <c r="B38" s="3"/>
      <c r="C38" s="3"/>
      <c r="D38" s="3"/>
      <c r="E38" s="3"/>
      <c r="F38" s="3"/>
      <c r="G38" s="3"/>
      <c r="H38" s="3"/>
      <c r="I38" s="108"/>
      <c r="J38" s="151">
        <f>lat-vb/2</f>
        <v>34.840106842149581</v>
      </c>
      <c r="K38" s="152">
        <f>RADIANS(J38)</f>
        <v>0.60807457614211446</v>
      </c>
      <c r="L38" s="152">
        <f t="shared" si="3"/>
        <v>372.37544383293806</v>
      </c>
      <c r="M38" s="152">
        <f t="shared" si="4"/>
        <v>12.677647428404008</v>
      </c>
      <c r="N38" s="152">
        <f t="shared" si="1"/>
        <v>372.60368203005157</v>
      </c>
      <c r="O38" s="153">
        <f>IF(L38&lt;0,ABS(L38),IF(L38&gt;360,-(L38-360),IF(AND(L38&gt;180,L38&lt;360),360-L38,-L38)))</f>
        <v>-12.37544383293806</v>
      </c>
      <c r="P38" s="154">
        <f t="shared" si="2"/>
        <v>-12.677647428404008</v>
      </c>
      <c r="Q38" s="155">
        <f t="shared" si="2"/>
        <v>-12.603682030051573</v>
      </c>
      <c r="R38" s="150"/>
      <c r="S38" s="3"/>
      <c r="T38" s="3"/>
    </row>
    <row r="39" spans="1:20">
      <c r="A39" s="3"/>
      <c r="B39" s="3"/>
      <c r="C39" s="3"/>
      <c r="D39" s="3"/>
      <c r="E39" s="3"/>
      <c r="F39" s="3"/>
      <c r="G39" s="3"/>
      <c r="H39" s="3"/>
      <c r="I39" s="108"/>
      <c r="J39" s="145">
        <f t="shared" ref="J39:J58" si="6">J38-$M$11</f>
        <v>34.815106842149582</v>
      </c>
      <c r="K39" s="146">
        <f t="shared" si="0"/>
        <v>0.60763824382911591</v>
      </c>
      <c r="L39" s="146">
        <f t="shared" si="3"/>
        <v>372.3910480226881</v>
      </c>
      <c r="M39" s="146">
        <f t="shared" si="4"/>
        <v>12.66827603535935</v>
      </c>
      <c r="N39" s="146">
        <f t="shared" si="1"/>
        <v>372.61905726930036</v>
      </c>
      <c r="O39" s="147">
        <f t="shared" si="2"/>
        <v>-12.391048022688096</v>
      </c>
      <c r="P39" s="148">
        <f t="shared" si="2"/>
        <v>-12.66827603535935</v>
      </c>
      <c r="Q39" s="149">
        <f t="shared" si="2"/>
        <v>-12.619057269300356</v>
      </c>
      <c r="R39" s="150"/>
      <c r="S39" s="3"/>
      <c r="T39" s="3"/>
    </row>
    <row r="40" spans="1:20">
      <c r="A40" s="3"/>
      <c r="B40" s="3"/>
      <c r="C40" s="3"/>
      <c r="D40" s="3"/>
      <c r="E40" s="3"/>
      <c r="F40" s="3"/>
      <c r="G40" s="3"/>
      <c r="H40" s="3"/>
      <c r="I40" s="108"/>
      <c r="J40" s="145">
        <f t="shared" si="6"/>
        <v>34.790106842149584</v>
      </c>
      <c r="K40" s="146">
        <f t="shared" si="0"/>
        <v>0.60720191151611735</v>
      </c>
      <c r="L40" s="146">
        <f t="shared" si="3"/>
        <v>372.40659432297275</v>
      </c>
      <c r="M40" s="146">
        <f t="shared" si="4"/>
        <v>12.658939341079545</v>
      </c>
      <c r="N40" s="146">
        <f t="shared" si="1"/>
        <v>372.63437563129628</v>
      </c>
      <c r="O40" s="147">
        <f t="shared" si="2"/>
        <v>-12.406594322972751</v>
      </c>
      <c r="P40" s="148">
        <f t="shared" si="2"/>
        <v>-12.658939341079545</v>
      </c>
      <c r="Q40" s="149">
        <f t="shared" si="2"/>
        <v>-12.63437563129628</v>
      </c>
      <c r="R40" s="150"/>
      <c r="S40" s="3"/>
      <c r="T40" s="3"/>
    </row>
    <row r="41" spans="1:20">
      <c r="A41" s="3"/>
      <c r="B41" s="3"/>
      <c r="C41" s="3"/>
      <c r="D41" s="3"/>
      <c r="E41" s="3"/>
      <c r="F41" s="3"/>
      <c r="G41" s="3"/>
      <c r="H41" s="3"/>
      <c r="I41" s="108"/>
      <c r="J41" s="145">
        <f t="shared" si="6"/>
        <v>34.765106842149585</v>
      </c>
      <c r="K41" s="146">
        <f t="shared" si="0"/>
        <v>0.6067655792031188</v>
      </c>
      <c r="L41" s="146">
        <f t="shared" si="3"/>
        <v>372.42208290592589</v>
      </c>
      <c r="M41" s="146">
        <f t="shared" si="4"/>
        <v>12.649637282226932</v>
      </c>
      <c r="N41" s="146">
        <f t="shared" si="1"/>
        <v>372.64963728222688</v>
      </c>
      <c r="O41" s="147">
        <f t="shared" ref="O41:Q58" si="7">IF(L41&lt;0,ABS(L41),IF(L41&gt;360,-(L41-360),IF(AND(L41&gt;180,L41&lt;360),360-L41,-L41)))</f>
        <v>-12.42208290592589</v>
      </c>
      <c r="P41" s="148">
        <f t="shared" si="7"/>
        <v>-12.649637282226932</v>
      </c>
      <c r="Q41" s="149">
        <f t="shared" si="7"/>
        <v>-12.649637282226877</v>
      </c>
      <c r="R41" s="150"/>
      <c r="S41" s="3"/>
      <c r="T41" s="3"/>
    </row>
    <row r="42" spans="1:20">
      <c r="A42" s="3"/>
      <c r="B42" s="3"/>
      <c r="C42" s="3"/>
      <c r="D42" s="3"/>
      <c r="E42" s="3"/>
      <c r="F42" s="3"/>
      <c r="G42" s="3"/>
      <c r="H42" s="3"/>
      <c r="I42" s="66"/>
      <c r="J42" s="145">
        <f t="shared" si="6"/>
        <v>34.740106842149586</v>
      </c>
      <c r="K42" s="146">
        <f t="shared" si="0"/>
        <v>0.60632924689012024</v>
      </c>
      <c r="L42" s="146">
        <f t="shared" si="3"/>
        <v>372.43751394261784</v>
      </c>
      <c r="M42" s="146">
        <f t="shared" si="4"/>
        <v>12.640369795724908</v>
      </c>
      <c r="N42" s="146">
        <f t="shared" si="1"/>
        <v>372.66484238726804</v>
      </c>
      <c r="O42" s="147">
        <f t="shared" si="7"/>
        <v>-12.437513942617841</v>
      </c>
      <c r="P42" s="148">
        <f t="shared" si="7"/>
        <v>-12.640369795724908</v>
      </c>
      <c r="Q42" s="149">
        <f t="shared" si="7"/>
        <v>-12.664842387268038</v>
      </c>
      <c r="R42" s="150"/>
      <c r="S42" s="3"/>
      <c r="T42" s="3"/>
    </row>
    <row r="43" spans="1:20">
      <c r="A43" s="3"/>
      <c r="B43" s="3"/>
      <c r="C43" s="3"/>
      <c r="D43" s="3"/>
      <c r="E43" s="3"/>
      <c r="F43" s="3"/>
      <c r="G43" s="3"/>
      <c r="H43" s="3"/>
      <c r="I43" s="108"/>
      <c r="J43" s="145">
        <f t="shared" si="6"/>
        <v>34.715106842149588</v>
      </c>
      <c r="K43" s="146">
        <f t="shared" si="0"/>
        <v>0.60589291457712169</v>
      </c>
      <c r="L43" s="146">
        <f t="shared" ref="L43:L58" si="8">IFERROR(DEGREES(grt+IF(B="W",-1,1)*ACOS((SIN(h)-SIN(d)*SIN(K43))/COS(d)/COS(K43))),#N/A)</f>
        <v>372.45288760306426</v>
      </c>
      <c r="M43" s="146">
        <f t="shared" si="4"/>
        <v>12.631136818756799</v>
      </c>
      <c r="N43" s="146">
        <f t="shared" si="1"/>
        <v>372.67999111059243</v>
      </c>
      <c r="O43" s="147">
        <f t="shared" si="7"/>
        <v>-12.452887603064255</v>
      </c>
      <c r="P43" s="148">
        <f t="shared" si="7"/>
        <v>-12.631136818756799</v>
      </c>
      <c r="Q43" s="149">
        <f t="shared" si="7"/>
        <v>-12.679991110592425</v>
      </c>
      <c r="R43" s="150"/>
      <c r="S43" s="3"/>
      <c r="T43" s="3"/>
    </row>
    <row r="44" spans="1:20">
      <c r="A44" s="3"/>
      <c r="B44" s="3"/>
      <c r="C44" s="3"/>
      <c r="D44" s="3"/>
      <c r="E44" s="3"/>
      <c r="F44" s="3"/>
      <c r="G44" s="3"/>
      <c r="H44" s="3"/>
      <c r="I44" s="108"/>
      <c r="J44" s="145">
        <f t="shared" si="6"/>
        <v>34.690106842149589</v>
      </c>
      <c r="K44" s="146">
        <f t="shared" si="0"/>
        <v>0.60545658226412313</v>
      </c>
      <c r="L44" s="146">
        <f t="shared" si="8"/>
        <v>372.4682040562343</v>
      </c>
      <c r="M44" s="146">
        <f t="shared" si="4"/>
        <v>12.621938288764463</v>
      </c>
      <c r="N44" s="146">
        <f t="shared" si="1"/>
        <v>372.69508361537765</v>
      </c>
      <c r="O44" s="147">
        <f t="shared" si="7"/>
        <v>-12.468204056234299</v>
      </c>
      <c r="P44" s="148">
        <f t="shared" si="7"/>
        <v>-12.621938288764463</v>
      </c>
      <c r="Q44" s="149">
        <f t="shared" si="7"/>
        <v>-12.695083615377655</v>
      </c>
      <c r="R44" s="150"/>
      <c r="S44" s="3"/>
      <c r="T44" s="3"/>
    </row>
    <row r="45" spans="1:20">
      <c r="A45" s="3"/>
      <c r="B45" s="3"/>
      <c r="C45" s="3"/>
      <c r="D45" s="3"/>
      <c r="E45" s="3"/>
      <c r="F45" s="3"/>
      <c r="G45" s="3"/>
      <c r="H45" s="3"/>
      <c r="I45" s="108"/>
      <c r="J45" s="145">
        <f t="shared" si="6"/>
        <v>34.665106842149591</v>
      </c>
      <c r="K45" s="146">
        <f t="shared" si="0"/>
        <v>0.60502024995112458</v>
      </c>
      <c r="L45" s="146">
        <f t="shared" si="8"/>
        <v>372.48346347005975</v>
      </c>
      <c r="M45" s="146">
        <f t="shared" si="4"/>
        <v>12.61277414344708</v>
      </c>
      <c r="N45" s="146">
        <f t="shared" si="1"/>
        <v>372.71012006381375</v>
      </c>
      <c r="O45" s="147">
        <f t="shared" si="7"/>
        <v>-12.483463470059746</v>
      </c>
      <c r="P45" s="148">
        <f t="shared" si="7"/>
        <v>-12.61277414344708</v>
      </c>
      <c r="Q45" s="149">
        <f t="shared" si="7"/>
        <v>-12.710120063813747</v>
      </c>
      <c r="R45" s="150"/>
      <c r="S45" s="3"/>
      <c r="T45" s="3"/>
    </row>
    <row r="46" spans="1:20">
      <c r="A46" s="3"/>
      <c r="B46" s="3"/>
      <c r="C46" s="3"/>
      <c r="D46" s="3"/>
      <c r="E46" s="3"/>
      <c r="F46" s="3"/>
      <c r="G46" s="3"/>
      <c r="H46" s="3"/>
      <c r="I46" s="108"/>
      <c r="J46" s="145">
        <f t="shared" si="6"/>
        <v>34.640106842149592</v>
      </c>
      <c r="K46" s="146">
        <f t="shared" si="0"/>
        <v>0.60458391763812602</v>
      </c>
      <c r="L46" s="146">
        <f t="shared" si="8"/>
        <v>372.49866601144328</v>
      </c>
      <c r="M46" s="146">
        <f t="shared" si="4"/>
        <v>12.603644320759932</v>
      </c>
      <c r="N46" s="146">
        <f t="shared" si="1"/>
        <v>372.72510061711182</v>
      </c>
      <c r="O46" s="147">
        <f t="shared" si="7"/>
        <v>-12.498666011443277</v>
      </c>
      <c r="P46" s="148">
        <f t="shared" si="7"/>
        <v>-12.603644320759932</v>
      </c>
      <c r="Q46" s="149">
        <f t="shared" si="7"/>
        <v>-12.725100617111821</v>
      </c>
      <c r="R46" s="150"/>
      <c r="S46" s="3"/>
      <c r="T46" s="3"/>
    </row>
    <row r="47" spans="1:20">
      <c r="A47" s="3"/>
      <c r="B47" s="3"/>
      <c r="C47" s="3"/>
      <c r="D47" s="3"/>
      <c r="E47" s="3"/>
      <c r="F47" s="3"/>
      <c r="G47" s="3"/>
      <c r="H47" s="3"/>
      <c r="I47" s="108"/>
      <c r="J47" s="145">
        <f t="shared" si="6"/>
        <v>34.615106842149594</v>
      </c>
      <c r="K47" s="146">
        <f t="shared" si="0"/>
        <v>0.60414758532512747</v>
      </c>
      <c r="L47" s="146">
        <f t="shared" si="8"/>
        <v>372.51381184626655</v>
      </c>
      <c r="M47" s="146">
        <f t="shared" si="4"/>
        <v>12.59454875891303</v>
      </c>
      <c r="N47" s="146">
        <f t="shared" si="1"/>
        <v>372.74002543551148</v>
      </c>
      <c r="O47" s="147">
        <f t="shared" si="7"/>
        <v>-12.513811846266549</v>
      </c>
      <c r="P47" s="148">
        <f t="shared" si="7"/>
        <v>-12.59454875891303</v>
      </c>
      <c r="Q47" s="149">
        <f t="shared" si="7"/>
        <v>-12.740025435511484</v>
      </c>
      <c r="R47" s="150"/>
      <c r="S47" s="3"/>
      <c r="T47" s="3"/>
    </row>
    <row r="48" spans="1:20">
      <c r="A48" s="3"/>
      <c r="B48" s="3"/>
      <c r="C48" s="3"/>
      <c r="D48" s="3"/>
      <c r="E48" s="3"/>
      <c r="F48" s="3"/>
      <c r="G48" s="3"/>
      <c r="H48" s="3"/>
      <c r="I48" s="108"/>
      <c r="J48" s="145">
        <f t="shared" si="6"/>
        <v>34.590106842149595</v>
      </c>
      <c r="K48" s="146">
        <f t="shared" si="0"/>
        <v>0.60371125301212891</v>
      </c>
      <c r="L48" s="146">
        <f t="shared" si="8"/>
        <v>372.52890113939884</v>
      </c>
      <c r="M48" s="146">
        <f t="shared" si="4"/>
        <v>12.585487396370098</v>
      </c>
      <c r="N48" s="146">
        <f t="shared" si="1"/>
        <v>372.75489467828839</v>
      </c>
      <c r="O48" s="147">
        <f t="shared" si="7"/>
        <v>-12.52890113939884</v>
      </c>
      <c r="P48" s="148">
        <f t="shared" si="7"/>
        <v>-12.585487396370098</v>
      </c>
      <c r="Q48" s="149">
        <f t="shared" si="7"/>
        <v>-12.754894678288395</v>
      </c>
      <c r="R48" s="150"/>
      <c r="S48" s="3"/>
      <c r="T48" s="3"/>
    </row>
    <row r="49" spans="1:20">
      <c r="A49" s="3"/>
      <c r="B49" s="3"/>
      <c r="C49" s="3"/>
      <c r="D49" s="3"/>
      <c r="E49" s="3"/>
      <c r="F49" s="3"/>
      <c r="G49" s="3"/>
      <c r="H49" s="3"/>
      <c r="I49" s="108"/>
      <c r="J49" s="145">
        <f t="shared" si="6"/>
        <v>34.565106842149596</v>
      </c>
      <c r="K49" s="146">
        <f t="shared" si="0"/>
        <v>0.60327492069913036</v>
      </c>
      <c r="L49" s="146">
        <f t="shared" si="8"/>
        <v>372.54393405470512</v>
      </c>
      <c r="M49" s="146">
        <f t="shared" si="4"/>
        <v>12.576460171847115</v>
      </c>
      <c r="N49" s="146">
        <f t="shared" si="1"/>
        <v>372.76970850376233</v>
      </c>
      <c r="O49" s="147">
        <f t="shared" si="7"/>
        <v>-12.543934054705119</v>
      </c>
      <c r="P49" s="148">
        <f t="shared" si="7"/>
        <v>-12.576460171847115</v>
      </c>
      <c r="Q49" s="149">
        <f t="shared" si="7"/>
        <v>-12.769708503762331</v>
      </c>
      <c r="R49" s="150"/>
      <c r="S49" s="3"/>
      <c r="T49" s="3"/>
    </row>
    <row r="50" spans="1:20">
      <c r="A50" s="3"/>
      <c r="B50" s="3"/>
      <c r="C50" s="3"/>
      <c r="D50" s="3"/>
      <c r="E50" s="3"/>
      <c r="F50" s="3"/>
      <c r="G50" s="3"/>
      <c r="H50" s="3"/>
      <c r="I50" s="108"/>
      <c r="J50" s="145">
        <f t="shared" si="6"/>
        <v>34.540106842149598</v>
      </c>
      <c r="K50" s="146">
        <f t="shared" si="0"/>
        <v>0.6028385883861318</v>
      </c>
      <c r="L50" s="146">
        <f t="shared" si="8"/>
        <v>372.558910755054</v>
      </c>
      <c r="M50" s="146">
        <f t="shared" si="4"/>
        <v>12.56746702431135</v>
      </c>
      <c r="N50" s="146">
        <f t="shared" si="1"/>
        <v>372.78446706930464</v>
      </c>
      <c r="O50" s="147">
        <f t="shared" si="7"/>
        <v>-12.558910755054001</v>
      </c>
      <c r="P50" s="148">
        <f t="shared" si="7"/>
        <v>-12.56746702431135</v>
      </c>
      <c r="Q50" s="149">
        <f t="shared" si="7"/>
        <v>-12.78446706930464</v>
      </c>
      <c r="R50" s="150"/>
      <c r="S50" s="3"/>
      <c r="T50" s="3"/>
    </row>
    <row r="51" spans="1:20">
      <c r="A51" s="3"/>
      <c r="B51" s="3"/>
      <c r="C51" s="3"/>
      <c r="D51" s="3"/>
      <c r="E51" s="3"/>
      <c r="F51" s="3"/>
      <c r="G51" s="3"/>
      <c r="H51" s="3"/>
      <c r="I51" s="108"/>
      <c r="J51" s="145">
        <f t="shared" si="6"/>
        <v>34.515106842149599</v>
      </c>
      <c r="K51" s="146">
        <f t="shared" si="0"/>
        <v>0.60240225607313325</v>
      </c>
      <c r="L51" s="146">
        <f t="shared" si="8"/>
        <v>372.57383140232611</v>
      </c>
      <c r="M51" s="146">
        <f t="shared" si="4"/>
        <v>12.558507892979854</v>
      </c>
      <c r="N51" s="146">
        <f t="shared" si="1"/>
        <v>372.79917053134551</v>
      </c>
      <c r="O51" s="147">
        <f t="shared" si="7"/>
        <v>-12.573831402326107</v>
      </c>
      <c r="P51" s="148">
        <f t="shared" si="7"/>
        <v>-12.558507892979854</v>
      </c>
      <c r="Q51" s="149">
        <f t="shared" si="7"/>
        <v>-12.79917053134551</v>
      </c>
      <c r="R51" s="150"/>
      <c r="S51" s="3"/>
      <c r="T51" s="3"/>
    </row>
    <row r="52" spans="1:20">
      <c r="A52" s="3"/>
      <c r="B52" s="3"/>
      <c r="C52" s="3"/>
      <c r="D52" s="3"/>
      <c r="E52" s="3"/>
      <c r="F52" s="3"/>
      <c r="G52" s="3"/>
      <c r="H52" s="3"/>
      <c r="I52" s="108"/>
      <c r="J52" s="145">
        <f t="shared" si="6"/>
        <v>34.490106842149601</v>
      </c>
      <c r="K52" s="146">
        <f t="shared" si="0"/>
        <v>0.60196592376013469</v>
      </c>
      <c r="L52" s="146">
        <f t="shared" si="8"/>
        <v>372.58869615742157</v>
      </c>
      <c r="M52" s="146">
        <f t="shared" si="4"/>
        <v>12.549582717318522</v>
      </c>
      <c r="N52" s="146">
        <f t="shared" si="1"/>
        <v>372.81381904538165</v>
      </c>
      <c r="O52" s="147">
        <f t="shared" si="7"/>
        <v>-12.588696157421566</v>
      </c>
      <c r="P52" s="148">
        <f t="shared" si="7"/>
        <v>-12.549582717318522</v>
      </c>
      <c r="Q52" s="149">
        <f t="shared" si="7"/>
        <v>-12.813819045381649</v>
      </c>
      <c r="R52" s="150"/>
      <c r="S52" s="3"/>
      <c r="T52" s="3"/>
    </row>
    <row r="53" spans="1:20">
      <c r="A53" s="3"/>
      <c r="B53" s="3"/>
      <c r="C53" s="3"/>
      <c r="D53" s="3"/>
      <c r="E53" s="3"/>
      <c r="F53" s="3"/>
      <c r="G53" s="3"/>
      <c r="H53" s="3"/>
      <c r="I53" s="108"/>
      <c r="J53" s="145">
        <f t="shared" si="6"/>
        <v>34.465106842149602</v>
      </c>
      <c r="K53" s="146">
        <f t="shared" si="0"/>
        <v>0.60152959144713614</v>
      </c>
      <c r="L53" s="146">
        <f t="shared" si="8"/>
        <v>372.6035051802682</v>
      </c>
      <c r="M53" s="146">
        <f t="shared" si="4"/>
        <v>12.540691437040801</v>
      </c>
      <c r="N53" s="146">
        <f t="shared" si="1"/>
        <v>372.82841276598356</v>
      </c>
      <c r="O53" s="147">
        <f t="shared" si="7"/>
        <v>-12.603505180268201</v>
      </c>
      <c r="P53" s="148">
        <f t="shared" si="7"/>
        <v>-12.540691437040801</v>
      </c>
      <c r="Q53" s="149">
        <f t="shared" si="7"/>
        <v>-12.828412765983558</v>
      </c>
      <c r="R53" s="150"/>
      <c r="S53" s="3"/>
      <c r="T53" s="3"/>
    </row>
    <row r="54" spans="1:20">
      <c r="A54" s="3"/>
      <c r="B54" s="3"/>
      <c r="C54" s="3"/>
      <c r="D54" s="3"/>
      <c r="E54" s="3"/>
      <c r="F54" s="3"/>
      <c r="G54" s="3"/>
      <c r="H54" s="3"/>
      <c r="I54" s="108"/>
      <c r="J54" s="145">
        <f t="shared" si="6"/>
        <v>34.440106842149603</v>
      </c>
      <c r="K54" s="146">
        <f t="shared" si="0"/>
        <v>0.60109325913413758</v>
      </c>
      <c r="L54" s="146">
        <f t="shared" si="8"/>
        <v>372.6182586298292</v>
      </c>
      <c r="M54" s="146">
        <f t="shared" si="4"/>
        <v>12.531833992106458</v>
      </c>
      <c r="N54" s="146">
        <f t="shared" si="1"/>
        <v>372.8429518468028</v>
      </c>
      <c r="O54" s="147">
        <f t="shared" si="7"/>
        <v>-12.618258629829199</v>
      </c>
      <c r="P54" s="148">
        <f t="shared" si="7"/>
        <v>-12.531833992106458</v>
      </c>
      <c r="Q54" s="149">
        <f t="shared" si="7"/>
        <v>-12.842951846802805</v>
      </c>
      <c r="R54" s="150"/>
      <c r="S54" s="3"/>
      <c r="T54" s="3"/>
    </row>
    <row r="55" spans="1:20">
      <c r="A55" s="3"/>
      <c r="B55" s="3"/>
      <c r="C55" s="3"/>
      <c r="D55" s="3"/>
      <c r="E55" s="3"/>
      <c r="F55" s="3"/>
      <c r="G55" s="3"/>
      <c r="H55" s="3"/>
      <c r="I55" s="108"/>
      <c r="J55" s="145">
        <f t="shared" si="6"/>
        <v>34.415106842149605</v>
      </c>
      <c r="K55" s="146">
        <f t="shared" si="0"/>
        <v>0.60065692682113903</v>
      </c>
      <c r="L55" s="146">
        <f t="shared" si="8"/>
        <v>372.63295666411045</v>
      </c>
      <c r="M55" s="146">
        <f t="shared" si="4"/>
        <v>12.523010322720442</v>
      </c>
      <c r="N55" s="146">
        <f t="shared" si="1"/>
        <v>372.85743644057897</v>
      </c>
      <c r="O55" s="147">
        <f t="shared" si="7"/>
        <v>-12.632956664110452</v>
      </c>
      <c r="P55" s="148">
        <f t="shared" si="7"/>
        <v>-12.523010322720442</v>
      </c>
      <c r="Q55" s="149">
        <f t="shared" si="7"/>
        <v>-12.857436440578965</v>
      </c>
      <c r="R55" s="150"/>
      <c r="S55" s="3"/>
      <c r="T55" s="3"/>
    </row>
    <row r="56" spans="1:20">
      <c r="A56" s="3"/>
      <c r="B56" s="3"/>
      <c r="C56" s="3"/>
      <c r="D56" s="3"/>
      <c r="E56" s="3"/>
      <c r="F56" s="3"/>
      <c r="G56" s="3"/>
      <c r="H56" s="3"/>
      <c r="I56" s="108"/>
      <c r="J56" s="145">
        <f t="shared" si="6"/>
        <v>34.390106842149606</v>
      </c>
      <c r="K56" s="146">
        <f t="shared" si="0"/>
        <v>0.60022059450814047</v>
      </c>
      <c r="L56" s="146">
        <f t="shared" si="8"/>
        <v>372.64759944016879</v>
      </c>
      <c r="M56" s="146">
        <f t="shared" si="4"/>
        <v>12.514220369331778</v>
      </c>
      <c r="N56" s="146">
        <f t="shared" si="1"/>
        <v>372.87186669914735</v>
      </c>
      <c r="O56" s="147">
        <f t="shared" si="7"/>
        <v>-12.64759944016879</v>
      </c>
      <c r="P56" s="148">
        <f t="shared" si="7"/>
        <v>-12.514220369331778</v>
      </c>
      <c r="Q56" s="149">
        <f t="shared" si="7"/>
        <v>-12.871866699147347</v>
      </c>
      <c r="R56" s="150"/>
      <c r="S56" s="3"/>
      <c r="T56" s="3"/>
    </row>
    <row r="57" spans="1:20">
      <c r="A57" s="3"/>
      <c r="B57" s="3"/>
      <c r="C57" s="3"/>
      <c r="D57" s="3"/>
      <c r="E57" s="3"/>
      <c r="F57" s="3"/>
      <c r="G57" s="3"/>
      <c r="H57" s="3"/>
      <c r="I57" s="108"/>
      <c r="J57" s="145">
        <f t="shared" si="6"/>
        <v>34.365106842149608</v>
      </c>
      <c r="K57" s="146">
        <f t="shared" si="0"/>
        <v>0.59978426219514192</v>
      </c>
      <c r="L57" s="146">
        <f t="shared" si="8"/>
        <v>372.66218711411898</v>
      </c>
      <c r="M57" s="146">
        <f t="shared" si="4"/>
        <v>12.505464072632305</v>
      </c>
      <c r="N57" s="146">
        <f t="shared" si="1"/>
        <v>372.88624277344519</v>
      </c>
      <c r="O57" s="147">
        <f t="shared" si="7"/>
        <v>-12.662187114118979</v>
      </c>
      <c r="P57" s="148">
        <f t="shared" si="7"/>
        <v>-12.505464072632305</v>
      </c>
      <c r="Q57" s="149">
        <f t="shared" si="7"/>
        <v>-12.88624277344519</v>
      </c>
      <c r="R57" s="150"/>
      <c r="S57" s="3"/>
      <c r="T57" s="3"/>
    </row>
    <row r="58" spans="1:20" ht="17" thickBot="1">
      <c r="A58" s="3"/>
      <c r="B58" s="3"/>
      <c r="C58" s="3"/>
      <c r="D58" s="3"/>
      <c r="E58" s="3"/>
      <c r="F58" s="3"/>
      <c r="G58" s="3"/>
      <c r="H58" s="3"/>
      <c r="I58" s="108"/>
      <c r="J58" s="145">
        <f t="shared" si="6"/>
        <v>34.340106842149609</v>
      </c>
      <c r="K58" s="146">
        <f t="shared" si="0"/>
        <v>0.59934792988214336</v>
      </c>
      <c r="L58" s="146">
        <f t="shared" si="8"/>
        <v>372.67671984114122</v>
      </c>
      <c r="M58" s="146">
        <f t="shared" si="4"/>
        <v>12.496741373555613</v>
      </c>
      <c r="N58" s="146">
        <f t="shared" si="1"/>
        <v>372.90056481351945</v>
      </c>
      <c r="O58" s="147">
        <f t="shared" si="7"/>
        <v>-12.676719841141221</v>
      </c>
      <c r="P58" s="148">
        <f t="shared" si="7"/>
        <v>-12.496741373555613</v>
      </c>
      <c r="Q58" s="149">
        <f t="shared" si="7"/>
        <v>-12.900564813519452</v>
      </c>
      <c r="R58" s="156"/>
      <c r="S58" s="3"/>
      <c r="T58" s="3"/>
    </row>
    <row r="59" spans="1:20">
      <c r="A59" s="3"/>
      <c r="B59" s="3"/>
      <c r="C59" s="3"/>
      <c r="D59" s="3"/>
      <c r="E59" s="3"/>
      <c r="F59" s="3"/>
      <c r="G59" s="3"/>
      <c r="H59" s="3"/>
      <c r="I59" s="108"/>
      <c r="J59" s="157">
        <f>J60-vb</f>
        <v>34.915106842149576</v>
      </c>
      <c r="K59" s="158"/>
      <c r="L59" s="159"/>
      <c r="M59" s="160"/>
      <c r="N59" s="160"/>
      <c r="O59" s="161"/>
      <c r="P59" s="162"/>
      <c r="Q59" s="163"/>
      <c r="R59" s="164">
        <f>R60-vl</f>
        <v>-12.33337594373978</v>
      </c>
      <c r="S59" s="3"/>
      <c r="T59" s="3"/>
    </row>
    <row r="60" spans="1:20" ht="17" thickBot="1">
      <c r="A60" s="3"/>
      <c r="B60" s="3"/>
      <c r="C60" s="3"/>
      <c r="D60" s="3"/>
      <c r="E60" s="3"/>
      <c r="F60" s="3"/>
      <c r="G60" s="3"/>
      <c r="H60" s="3"/>
      <c r="I60" s="108"/>
      <c r="J60" s="165">
        <f>lat</f>
        <v>34.765106842149578</v>
      </c>
      <c r="K60" s="166"/>
      <c r="L60" s="166"/>
      <c r="M60" s="167"/>
      <c r="N60" s="167"/>
      <c r="O60" s="168"/>
      <c r="P60" s="169"/>
      <c r="Q60" s="170"/>
      <c r="R60" s="171">
        <f>lon</f>
        <v>-12.649637282226893</v>
      </c>
      <c r="S60" s="3"/>
      <c r="T60" s="3"/>
    </row>
  </sheetData>
  <sheetProtection algorithmName="SHA-512" hashValue="SZUiOklXd19FhR5gG2MeHv7YIN5HiMSvv5fkMh3JM4ah9r7OQNCgmt4H27XLz3Abcf5DTkbaqCB3SDOjZ88q2Q==" saltValue="yf2nl3gxtmEjR5k3tFLWGg==" spinCount="100000" sheet="1" objects="1" scenarios="1" selectLockedCells="1" selectUnlockedCells="1"/>
  <mergeCells count="5">
    <mergeCell ref="F2:H2"/>
    <mergeCell ref="J7:L7"/>
    <mergeCell ref="J8:L8"/>
    <mergeCell ref="J9:L9"/>
    <mergeCell ref="J10:L10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8222-9834-FD46-ABE7-86E1E4C4E4B4}">
  <dimension ref="B1:AE197"/>
  <sheetViews>
    <sheetView showGridLines="0" showRowColHeaders="0" workbookViewId="0">
      <selection activeCell="J40" sqref="J40"/>
    </sheetView>
  </sheetViews>
  <sheetFormatPr baseColWidth="10" defaultRowHeight="16"/>
  <cols>
    <col min="1" max="1" width="4.83203125" customWidth="1"/>
    <col min="11" max="11" width="10.83203125" customWidth="1"/>
    <col min="26" max="26" width="5.5" customWidth="1"/>
  </cols>
  <sheetData>
    <row r="1" spans="2:31" ht="17" thickBot="1"/>
    <row r="2" spans="2:31" ht="23" customHeight="1" thickBot="1">
      <c r="B2" s="327" t="s">
        <v>137</v>
      </c>
      <c r="C2" s="3"/>
      <c r="D2" s="3"/>
      <c r="E2" s="3"/>
      <c r="F2" s="3"/>
      <c r="G2" s="3"/>
      <c r="H2" s="424" t="s">
        <v>55</v>
      </c>
      <c r="I2" s="425"/>
      <c r="J2" s="426"/>
      <c r="K2" s="108"/>
    </row>
    <row r="3" spans="2:31" ht="16" customHeight="1"/>
    <row r="4" spans="2:31" ht="16" customHeight="1"/>
    <row r="5" spans="2:31" ht="20" customHeight="1" thickBot="1">
      <c r="M5" s="243" t="s">
        <v>138</v>
      </c>
      <c r="AA5" s="243" t="s">
        <v>124</v>
      </c>
      <c r="AB5" s="244"/>
      <c r="AC5" s="244"/>
      <c r="AD5" s="244"/>
      <c r="AE5" s="244"/>
    </row>
    <row r="6" spans="2:31" ht="19" thickBot="1">
      <c r="M6" s="223" t="s">
        <v>65</v>
      </c>
      <c r="N6" s="224" t="s">
        <v>114</v>
      </c>
      <c r="O6" s="225" t="s">
        <v>115</v>
      </c>
      <c r="P6" s="226" t="s">
        <v>116</v>
      </c>
      <c r="Q6" s="227" t="s">
        <v>117</v>
      </c>
      <c r="R6" s="227" t="s">
        <v>118</v>
      </c>
      <c r="S6" s="227" t="s">
        <v>119</v>
      </c>
      <c r="T6" s="228" t="s">
        <v>120</v>
      </c>
      <c r="U6" s="228" t="s">
        <v>121</v>
      </c>
      <c r="V6" s="228" t="s">
        <v>122</v>
      </c>
      <c r="W6" s="228" t="s">
        <v>123</v>
      </c>
      <c r="X6" s="228" t="s">
        <v>140</v>
      </c>
      <c r="Y6" s="229" t="s">
        <v>143</v>
      </c>
      <c r="AA6" s="245"/>
      <c r="AB6" s="246"/>
      <c r="AC6" s="247"/>
      <c r="AD6" s="248" t="s">
        <v>125</v>
      </c>
      <c r="AE6" s="249">
        <f>MAX(L8:L9)</f>
        <v>50.943850542952134</v>
      </c>
    </row>
    <row r="7" spans="2:31" ht="17" thickBot="1">
      <c r="M7" s="304"/>
      <c r="N7" s="305">
        <f>IF(MIN(L8:L9)=0,MAX(L8:L9)+1,MIN(L8:L9)+(add+2)*(step+0.0001))</f>
        <v>51.734722743525957</v>
      </c>
      <c r="O7" s="232"/>
      <c r="P7" s="230"/>
      <c r="Q7" s="231"/>
      <c r="R7" s="231"/>
      <c r="S7" s="232"/>
      <c r="T7" s="233"/>
      <c r="U7" s="234"/>
      <c r="V7" s="234"/>
      <c r="W7" s="288"/>
      <c r="X7" s="302"/>
      <c r="Y7" s="303"/>
      <c r="AA7" s="250"/>
      <c r="AB7" s="251"/>
      <c r="AC7" s="252"/>
      <c r="AD7" s="253" t="s">
        <v>126</v>
      </c>
      <c r="AE7" s="254">
        <f>MIN(L192:L193)</f>
        <v>-4.793629980669051</v>
      </c>
    </row>
    <row r="8" spans="2:31">
      <c r="L8" s="241">
        <f>IFERROR(90-DEGREES(h)+DEGREES(d)-0.01,0)</f>
        <v>44.801965313216535</v>
      </c>
      <c r="M8" s="306">
        <f>IF(N8&gt;maxn,maxn,IF(N8&lt;mins,mins,N8))</f>
        <v>50.943850542952134</v>
      </c>
      <c r="N8" s="307">
        <f>N7-step</f>
        <v>51.419697405784618</v>
      </c>
      <c r="O8" s="308">
        <f t="shared" ref="O8:O10" si="0">RADIANS(M8)</f>
        <v>0.88913792561841565</v>
      </c>
      <c r="P8" s="235" t="e">
        <f>IFERROR(DEGREES(grt+ACOS((SIN(h)-SIN(d)*SIN(O8))/COS(d)/COS(O8))),#N/A)</f>
        <v>#N/A</v>
      </c>
      <c r="Q8" s="236" t="e">
        <f t="shared" ref="Q8:Q10" si="1">IFERROR(DEGREES(grt-ACOS((SIN(h)-SIN(d)*SIN(O8))/COS(d)/COS(O8))),#N/A)</f>
        <v>#N/A</v>
      </c>
      <c r="R8" s="236">
        <f t="shared" ref="R8:R39" si="2">IFERROR(DEGREES(grt_+ACOS((SIN(h_)-SIN(d_)*SIN(O8))/COS(d_)/COS(O8))),#N/A)</f>
        <v>42.69851124109983</v>
      </c>
      <c r="S8" s="237">
        <f t="shared" ref="S8:S39" si="3">IFERROR(DEGREES(grt_-ACOS((SIN(h_)-SIN(d_)*SIN(O8))/COS(d_)/COS(O8))),#N/A)</f>
        <v>40.775759223676779</v>
      </c>
      <c r="T8" s="238" t="e">
        <f>IF(P8&lt;0,ABS(P8),IF(P8&gt;360,-(P8-360),IF(AND(P8&gt;180,P8&lt;360),ABS(360-P8),-P8)))</f>
        <v>#N/A</v>
      </c>
      <c r="U8" s="239" t="e">
        <f>IF(Q8&lt;0,ABS(Q8),IF(Q8&gt;360,Q8-(Q8-360),IF(AND(Q8&gt;180,Q8&lt;360),ABS(360-Q8),-Q8)))</f>
        <v>#N/A</v>
      </c>
      <c r="V8" s="240">
        <f>IF(R8&lt;0,ABS(R8),IF(R8&gt;360,-(R8-360),IF(AND(R8&gt;180,R8&lt;360),ABS(360-R8),-R8)))</f>
        <v>-42.69851124109983</v>
      </c>
      <c r="W8" s="240">
        <f>IF(S8&lt;0,ABS(S8),IF(S8&gt;360,-(S8-360),IF(AND(S8&gt;180,S8&lt;360),ABS(360-S8),-S8)))</f>
        <v>-40.775759223676779</v>
      </c>
      <c r="X8" s="240"/>
      <c r="Y8" s="299"/>
      <c r="AA8" s="255"/>
      <c r="AB8" s="256"/>
      <c r="AC8" s="257"/>
      <c r="AD8" s="258" t="s">
        <v>127</v>
      </c>
      <c r="AE8" s="259">
        <f>MIN(L8:L9)</f>
        <v>44.801965313216535</v>
      </c>
    </row>
    <row r="9" spans="2:31" ht="17" thickBot="1">
      <c r="L9" s="242">
        <f>IFERROR(90-DEGREES(h_)+DEGREES(d_)-0.01,0)</f>
        <v>50.943850542952134</v>
      </c>
      <c r="M9" s="306">
        <f t="shared" ref="M9:M10" si="4">IF(N9&gt;maxn,maxn,IF(N9&lt;mins,mins,N9))</f>
        <v>50.943850542952134</v>
      </c>
      <c r="N9" s="307">
        <f t="shared" ref="N9:N71" si="5">N8-step</f>
        <v>51.104672068043278</v>
      </c>
      <c r="O9" s="308">
        <f t="shared" si="0"/>
        <v>0.88913792561841565</v>
      </c>
      <c r="P9" s="235" t="e">
        <f t="shared" ref="P9:P10" si="6">IFERROR(DEGREES(grt+ACOS((SIN(h)-SIN(d)*SIN(O9))/COS(d)/COS(O9))),#N/A)</f>
        <v>#N/A</v>
      </c>
      <c r="Q9" s="236" t="e">
        <f t="shared" si="1"/>
        <v>#N/A</v>
      </c>
      <c r="R9" s="236">
        <f t="shared" si="2"/>
        <v>42.69851124109983</v>
      </c>
      <c r="S9" s="237">
        <f t="shared" si="3"/>
        <v>40.775759223676779</v>
      </c>
      <c r="T9" s="238" t="e">
        <f t="shared" ref="T9:T38" si="7">IF(P9&lt;0,ABS(P9),IF(P9&gt;360,-(P9-360),IF(AND(P9&gt;180,P9&lt;360),ABS(360-P9),-P9)))</f>
        <v>#N/A</v>
      </c>
      <c r="U9" s="239" t="e">
        <f t="shared" ref="U9:U38" si="8">IF(Q9&lt;0,ABS(Q9),IF(Q9&gt;360,Q9-(Q9-360),IF(AND(Q9&gt;180,Q9&lt;360),ABS(360-Q9),-Q9)))</f>
        <v>#N/A</v>
      </c>
      <c r="V9" s="240">
        <f t="shared" ref="V9:V38" si="9">IF(R9&lt;0,ABS(R9),IF(R9&gt;360,-(R9-360),IF(AND(R9&gt;180,R9&lt;360),ABS(360-R9),-R9)))</f>
        <v>-42.69851124109983</v>
      </c>
      <c r="W9" s="240">
        <f t="shared" ref="W9:W38" si="10">IF(S9&lt;0,ABS(S9),IF(S9&gt;360,-(S9-360),IF(AND(S9&gt;180,S9&lt;360),ABS(360-S9),-S9)))</f>
        <v>-40.775759223676779</v>
      </c>
      <c r="X9" s="240"/>
      <c r="Y9" s="299"/>
      <c r="AA9" s="250"/>
      <c r="AB9" s="251"/>
      <c r="AC9" s="252"/>
      <c r="AD9" s="253" t="s">
        <v>128</v>
      </c>
      <c r="AE9" s="254">
        <f>MAX(L192:L193)</f>
        <v>1.3284687049119788</v>
      </c>
    </row>
    <row r="10" spans="2:31">
      <c r="M10" s="306">
        <f t="shared" si="4"/>
        <v>50.789646730301939</v>
      </c>
      <c r="N10" s="307">
        <f t="shared" si="5"/>
        <v>50.789646730301939</v>
      </c>
      <c r="O10" s="308">
        <f t="shared" si="0"/>
        <v>0.88644656136854127</v>
      </c>
      <c r="P10" s="235" t="e">
        <f t="shared" si="6"/>
        <v>#N/A</v>
      </c>
      <c r="Q10" s="236" t="e">
        <f t="shared" si="1"/>
        <v>#N/A</v>
      </c>
      <c r="R10" s="236">
        <f t="shared" si="2"/>
        <v>45.622137224980762</v>
      </c>
      <c r="S10" s="237">
        <f t="shared" si="3"/>
        <v>37.852133239795847</v>
      </c>
      <c r="T10" s="238" t="e">
        <f t="shared" si="7"/>
        <v>#N/A</v>
      </c>
      <c r="U10" s="239" t="e">
        <f t="shared" si="8"/>
        <v>#N/A</v>
      </c>
      <c r="V10" s="240">
        <f t="shared" si="9"/>
        <v>-45.622137224980762</v>
      </c>
      <c r="W10" s="240">
        <f t="shared" si="10"/>
        <v>-37.852133239795847</v>
      </c>
      <c r="X10" s="240"/>
      <c r="Y10" s="299"/>
      <c r="AA10" s="260"/>
      <c r="AB10" s="257"/>
      <c r="AC10" s="257"/>
      <c r="AD10" s="261" t="s">
        <v>129</v>
      </c>
      <c r="AE10" s="259">
        <f>IF(minn=0,AE6,minn)</f>
        <v>44.801965313216535</v>
      </c>
    </row>
    <row r="11" spans="2:31">
      <c r="M11" s="306">
        <f t="shared" ref="M11:M38" si="11">IF(N11&gt;maxn,maxn,IF(N11&lt;mins,mins,N11))</f>
        <v>50.4746213925606</v>
      </c>
      <c r="N11" s="307">
        <f>N10-step</f>
        <v>50.4746213925606</v>
      </c>
      <c r="O11" s="308">
        <f t="shared" ref="O11:O38" si="12">RADIANS(M11)</f>
        <v>0.8809483319977478</v>
      </c>
      <c r="P11" s="235" t="e">
        <f t="shared" ref="P11:P38" si="13">IFERROR(DEGREES(grt+ACOS((SIN(h)-SIN(d)*SIN(O11))/COS(d)/COS(O11))),#N/A)</f>
        <v>#N/A</v>
      </c>
      <c r="Q11" s="236" t="e">
        <f t="shared" ref="Q11:Q38" si="14">IFERROR(DEGREES(grt-ACOS((SIN(h)-SIN(d)*SIN(O11))/COS(d)/COS(O11))),#N/A)</f>
        <v>#N/A</v>
      </c>
      <c r="R11" s="236">
        <f t="shared" si="2"/>
        <v>48.337018346937207</v>
      </c>
      <c r="S11" s="237">
        <f t="shared" si="3"/>
        <v>35.137252117839402</v>
      </c>
      <c r="T11" s="238" t="e">
        <f t="shared" si="7"/>
        <v>#N/A</v>
      </c>
      <c r="U11" s="239" t="e">
        <f t="shared" si="8"/>
        <v>#N/A</v>
      </c>
      <c r="V11" s="240">
        <f t="shared" si="9"/>
        <v>-48.337018346937207</v>
      </c>
      <c r="W11" s="240">
        <f t="shared" si="10"/>
        <v>-35.137252117839402</v>
      </c>
      <c r="X11" s="240"/>
      <c r="Y11" s="299"/>
      <c r="AA11" s="262"/>
      <c r="AB11" s="252"/>
      <c r="AC11" s="252"/>
      <c r="AD11" s="263" t="s">
        <v>130</v>
      </c>
      <c r="AE11" s="254">
        <f>IF(maxs=0,AE7,maxs)</f>
        <v>1.3284687049119788</v>
      </c>
    </row>
    <row r="12" spans="2:31">
      <c r="M12" s="306">
        <f t="shared" si="11"/>
        <v>50.159596054819261</v>
      </c>
      <c r="N12" s="307">
        <f t="shared" si="5"/>
        <v>50.159596054819261</v>
      </c>
      <c r="O12" s="308">
        <f t="shared" si="12"/>
        <v>0.87545010262695422</v>
      </c>
      <c r="P12" s="235" t="e">
        <f t="shared" si="13"/>
        <v>#N/A</v>
      </c>
      <c r="Q12" s="236" t="e">
        <f t="shared" si="14"/>
        <v>#N/A</v>
      </c>
      <c r="R12" s="236">
        <f t="shared" si="2"/>
        <v>50.18630481911336</v>
      </c>
      <c r="S12" s="237">
        <f t="shared" si="3"/>
        <v>33.287965645663249</v>
      </c>
      <c r="T12" s="238" t="e">
        <f t="shared" si="7"/>
        <v>#N/A</v>
      </c>
      <c r="U12" s="239" t="e">
        <f t="shared" si="8"/>
        <v>#N/A</v>
      </c>
      <c r="V12" s="240">
        <f t="shared" si="9"/>
        <v>-50.18630481911336</v>
      </c>
      <c r="W12" s="240">
        <f t="shared" si="10"/>
        <v>-33.287965645663249</v>
      </c>
      <c r="X12" s="240"/>
      <c r="Y12" s="299"/>
      <c r="AA12" s="255"/>
      <c r="AB12" s="256"/>
      <c r="AC12" s="257"/>
      <c r="AD12" s="258" t="s">
        <v>131</v>
      </c>
      <c r="AE12" s="264">
        <f>maxn-mins</f>
        <v>55.737480523621187</v>
      </c>
    </row>
    <row r="13" spans="2:31">
      <c r="M13" s="306">
        <f t="shared" si="11"/>
        <v>49.844570717077922</v>
      </c>
      <c r="N13" s="307">
        <f t="shared" si="5"/>
        <v>49.844570717077922</v>
      </c>
      <c r="O13" s="308">
        <f t="shared" si="12"/>
        <v>0.86995187325616075</v>
      </c>
      <c r="P13" s="235" t="e">
        <f t="shared" si="13"/>
        <v>#N/A</v>
      </c>
      <c r="Q13" s="236" t="e">
        <f t="shared" si="14"/>
        <v>#N/A</v>
      </c>
      <c r="R13" s="236">
        <f t="shared" si="2"/>
        <v>51.666663814202067</v>
      </c>
      <c r="S13" s="237">
        <f t="shared" si="3"/>
        <v>31.807606650574538</v>
      </c>
      <c r="T13" s="238" t="e">
        <f t="shared" si="7"/>
        <v>#N/A</v>
      </c>
      <c r="U13" s="239" t="e">
        <f t="shared" si="8"/>
        <v>#N/A</v>
      </c>
      <c r="V13" s="240">
        <f t="shared" si="9"/>
        <v>-51.666663814202067</v>
      </c>
      <c r="W13" s="240">
        <f t="shared" si="10"/>
        <v>-31.807606650574538</v>
      </c>
      <c r="X13" s="240"/>
      <c r="Y13" s="299"/>
      <c r="AA13" s="262"/>
      <c r="AB13" s="252"/>
      <c r="AC13" s="252"/>
      <c r="AD13" s="253" t="s">
        <v>132</v>
      </c>
      <c r="AE13" s="265">
        <f>AE10-AE11</f>
        <v>43.473496608304558</v>
      </c>
    </row>
    <row r="14" spans="2:31">
      <c r="M14" s="306">
        <f t="shared" si="11"/>
        <v>49.529545379336582</v>
      </c>
      <c r="N14" s="307">
        <f t="shared" si="5"/>
        <v>49.529545379336582</v>
      </c>
      <c r="O14" s="308">
        <f t="shared" si="12"/>
        <v>0.86445364388536716</v>
      </c>
      <c r="P14" s="235" t="e">
        <f t="shared" si="13"/>
        <v>#N/A</v>
      </c>
      <c r="Q14" s="236" t="e">
        <f t="shared" si="14"/>
        <v>#N/A</v>
      </c>
      <c r="R14" s="236">
        <f t="shared" si="2"/>
        <v>52.926040132909293</v>
      </c>
      <c r="S14" s="237">
        <f t="shared" si="3"/>
        <v>30.548230331867313</v>
      </c>
      <c r="T14" s="238" t="e">
        <f t="shared" si="7"/>
        <v>#N/A</v>
      </c>
      <c r="U14" s="239" t="e">
        <f t="shared" si="8"/>
        <v>#N/A</v>
      </c>
      <c r="V14" s="240">
        <f t="shared" si="9"/>
        <v>-52.926040132909293</v>
      </c>
      <c r="W14" s="240">
        <f t="shared" si="10"/>
        <v>-30.548230331867313</v>
      </c>
      <c r="X14" s="240"/>
      <c r="Y14" s="299"/>
      <c r="AA14" s="266"/>
      <c r="AB14" s="267"/>
      <c r="AC14" s="257"/>
      <c r="AD14" s="258" t="s">
        <v>133</v>
      </c>
      <c r="AE14" s="268">
        <v>178</v>
      </c>
    </row>
    <row r="15" spans="2:31">
      <c r="M15" s="306">
        <f t="shared" si="11"/>
        <v>49.214520041595243</v>
      </c>
      <c r="N15" s="307">
        <f t="shared" si="5"/>
        <v>49.214520041595243</v>
      </c>
      <c r="O15" s="308">
        <f t="shared" si="12"/>
        <v>0.85895541451457369</v>
      </c>
      <c r="P15" s="235" t="e">
        <f t="shared" si="13"/>
        <v>#N/A</v>
      </c>
      <c r="Q15" s="236" t="e">
        <f t="shared" si="14"/>
        <v>#N/A</v>
      </c>
      <c r="R15" s="236">
        <f t="shared" si="2"/>
        <v>54.032997120581854</v>
      </c>
      <c r="S15" s="237">
        <f t="shared" si="3"/>
        <v>29.441273344194752</v>
      </c>
      <c r="T15" s="238" t="e">
        <f t="shared" si="7"/>
        <v>#N/A</v>
      </c>
      <c r="U15" s="239" t="e">
        <f t="shared" si="8"/>
        <v>#N/A</v>
      </c>
      <c r="V15" s="240">
        <f t="shared" si="9"/>
        <v>-54.032997120581854</v>
      </c>
      <c r="W15" s="240">
        <f t="shared" si="10"/>
        <v>-29.441273344194752</v>
      </c>
      <c r="X15" s="240"/>
      <c r="Y15" s="299"/>
      <c r="AA15" s="269"/>
      <c r="AB15" s="270"/>
      <c r="AC15" s="252"/>
      <c r="AD15" s="253" t="s">
        <v>134</v>
      </c>
      <c r="AE15" s="271">
        <f>ROUNDDOWN(AE13*AE14/AE12,0)</f>
        <v>138</v>
      </c>
    </row>
    <row r="16" spans="2:31">
      <c r="M16" s="306">
        <f t="shared" si="11"/>
        <v>48.899494703853904</v>
      </c>
      <c r="N16" s="307">
        <f t="shared" si="5"/>
        <v>48.899494703853904</v>
      </c>
      <c r="O16" s="308">
        <f t="shared" si="12"/>
        <v>0.85345718514378011</v>
      </c>
      <c r="P16" s="235" t="e">
        <f t="shared" si="13"/>
        <v>#N/A</v>
      </c>
      <c r="Q16" s="236" t="e">
        <f t="shared" si="14"/>
        <v>#N/A</v>
      </c>
      <c r="R16" s="236">
        <f t="shared" si="2"/>
        <v>55.02610369074187</v>
      </c>
      <c r="S16" s="237">
        <f t="shared" si="3"/>
        <v>28.448166774034735</v>
      </c>
      <c r="T16" s="238" t="e">
        <f t="shared" si="7"/>
        <v>#N/A</v>
      </c>
      <c r="U16" s="239" t="e">
        <f t="shared" si="8"/>
        <v>#N/A</v>
      </c>
      <c r="V16" s="240">
        <f t="shared" si="9"/>
        <v>-55.02610369074187</v>
      </c>
      <c r="W16" s="240">
        <f t="shared" si="10"/>
        <v>-28.448166774034735</v>
      </c>
      <c r="X16" s="240"/>
      <c r="Y16" s="299"/>
      <c r="AA16" s="266"/>
      <c r="AB16" s="267"/>
      <c r="AC16" s="257"/>
      <c r="AD16" s="258" t="s">
        <v>135</v>
      </c>
      <c r="AE16" s="272">
        <f>ROUNDUP((AE14-AE15)/2,0)</f>
        <v>20</v>
      </c>
    </row>
    <row r="17" spans="13:31" ht="17" thickBot="1">
      <c r="M17" s="306">
        <f t="shared" si="11"/>
        <v>48.584469366112565</v>
      </c>
      <c r="N17" s="307">
        <f t="shared" si="5"/>
        <v>48.584469366112565</v>
      </c>
      <c r="O17" s="308">
        <f t="shared" si="12"/>
        <v>0.84795895577298663</v>
      </c>
      <c r="P17" s="235" t="e">
        <f t="shared" si="13"/>
        <v>#N/A</v>
      </c>
      <c r="Q17" s="236" t="e">
        <f t="shared" si="14"/>
        <v>#N/A</v>
      </c>
      <c r="R17" s="236">
        <f t="shared" si="2"/>
        <v>55.929666182042304</v>
      </c>
      <c r="S17" s="237">
        <f t="shared" si="3"/>
        <v>27.544604282734305</v>
      </c>
      <c r="T17" s="238" t="e">
        <f t="shared" si="7"/>
        <v>#N/A</v>
      </c>
      <c r="U17" s="239" t="e">
        <f t="shared" si="8"/>
        <v>#N/A</v>
      </c>
      <c r="V17" s="240">
        <f t="shared" si="9"/>
        <v>-55.929666182042304</v>
      </c>
      <c r="W17" s="240">
        <f t="shared" si="10"/>
        <v>-27.544604282734305</v>
      </c>
      <c r="X17" s="240"/>
      <c r="Y17" s="299"/>
      <c r="AA17" s="273"/>
      <c r="AB17" s="274"/>
      <c r="AC17" s="275"/>
      <c r="AD17" s="276" t="s">
        <v>136</v>
      </c>
      <c r="AE17" s="277">
        <f>IF(minn=0,AE12/AE15,AE13/AE15)</f>
        <v>0.3150253377413374</v>
      </c>
    </row>
    <row r="18" spans="13:31">
      <c r="M18" s="306">
        <f t="shared" si="11"/>
        <v>48.269444028371225</v>
      </c>
      <c r="N18" s="307">
        <f t="shared" si="5"/>
        <v>48.269444028371225</v>
      </c>
      <c r="O18" s="308">
        <f t="shared" si="12"/>
        <v>0.84246072640219305</v>
      </c>
      <c r="P18" s="235" t="e">
        <f t="shared" si="13"/>
        <v>#N/A</v>
      </c>
      <c r="Q18" s="236" t="e">
        <f t="shared" si="14"/>
        <v>#N/A</v>
      </c>
      <c r="R18" s="236">
        <f t="shared" si="2"/>
        <v>56.760205045202476</v>
      </c>
      <c r="S18" s="237">
        <f t="shared" si="3"/>
        <v>26.714065419574126</v>
      </c>
      <c r="T18" s="238" t="e">
        <f t="shared" si="7"/>
        <v>#N/A</v>
      </c>
      <c r="U18" s="239" t="e">
        <f t="shared" si="8"/>
        <v>#N/A</v>
      </c>
      <c r="V18" s="240">
        <f t="shared" si="9"/>
        <v>-56.760205045202476</v>
      </c>
      <c r="W18" s="240">
        <f t="shared" si="10"/>
        <v>-26.714065419574126</v>
      </c>
      <c r="X18" s="240"/>
      <c r="Y18" s="299"/>
    </row>
    <row r="19" spans="13:31">
      <c r="M19" s="306">
        <f t="shared" si="11"/>
        <v>47.954418690629886</v>
      </c>
      <c r="N19" s="307">
        <f t="shared" si="5"/>
        <v>47.954418690629886</v>
      </c>
      <c r="O19" s="308">
        <f t="shared" si="12"/>
        <v>0.83696249703139958</v>
      </c>
      <c r="P19" s="235" t="e">
        <f t="shared" si="13"/>
        <v>#N/A</v>
      </c>
      <c r="Q19" s="236" t="e">
        <f t="shared" si="14"/>
        <v>#N/A</v>
      </c>
      <c r="R19" s="236">
        <f t="shared" si="2"/>
        <v>57.529573845342533</v>
      </c>
      <c r="S19" s="237">
        <f t="shared" si="3"/>
        <v>25.944696619434076</v>
      </c>
      <c r="T19" s="238" t="e">
        <f t="shared" si="7"/>
        <v>#N/A</v>
      </c>
      <c r="U19" s="239" t="e">
        <f t="shared" si="8"/>
        <v>#N/A</v>
      </c>
      <c r="V19" s="240">
        <f t="shared" si="9"/>
        <v>-57.529573845342533</v>
      </c>
      <c r="W19" s="240">
        <f t="shared" si="10"/>
        <v>-25.944696619434076</v>
      </c>
      <c r="X19" s="240"/>
      <c r="Y19" s="299"/>
    </row>
    <row r="20" spans="13:31">
      <c r="M20" s="306">
        <f t="shared" si="11"/>
        <v>47.639393352888547</v>
      </c>
      <c r="N20" s="307">
        <f t="shared" si="5"/>
        <v>47.639393352888547</v>
      </c>
      <c r="O20" s="308">
        <f t="shared" si="12"/>
        <v>0.83146426766060599</v>
      </c>
      <c r="P20" s="235" t="e">
        <f t="shared" si="13"/>
        <v>#N/A</v>
      </c>
      <c r="Q20" s="236" t="e">
        <f t="shared" si="14"/>
        <v>#N/A</v>
      </c>
      <c r="R20" s="236">
        <f t="shared" si="2"/>
        <v>58.246632015943362</v>
      </c>
      <c r="S20" s="237">
        <f t="shared" si="3"/>
        <v>25.227638448833243</v>
      </c>
      <c r="T20" s="238" t="e">
        <f t="shared" si="7"/>
        <v>#N/A</v>
      </c>
      <c r="U20" s="239" t="e">
        <f t="shared" si="8"/>
        <v>#N/A</v>
      </c>
      <c r="V20" s="240">
        <f t="shared" si="9"/>
        <v>-58.246632015943362</v>
      </c>
      <c r="W20" s="240">
        <f t="shared" si="10"/>
        <v>-25.227638448833243</v>
      </c>
      <c r="X20" s="240"/>
      <c r="Y20" s="299"/>
    </row>
    <row r="21" spans="13:31">
      <c r="M21" s="306">
        <f t="shared" si="11"/>
        <v>47.324368015147208</v>
      </c>
      <c r="N21" s="307">
        <f t="shared" si="5"/>
        <v>47.324368015147208</v>
      </c>
      <c r="O21" s="308">
        <f t="shared" si="12"/>
        <v>0.82596603828981252</v>
      </c>
      <c r="P21" s="235" t="e">
        <f t="shared" si="13"/>
        <v>#N/A</v>
      </c>
      <c r="Q21" s="236" t="e">
        <f t="shared" si="14"/>
        <v>#N/A</v>
      </c>
      <c r="R21" s="236">
        <f t="shared" si="2"/>
        <v>58.918215842782416</v>
      </c>
      <c r="S21" s="237">
        <f t="shared" si="3"/>
        <v>24.556054621994193</v>
      </c>
      <c r="T21" s="238" t="e">
        <f t="shared" si="7"/>
        <v>#N/A</v>
      </c>
      <c r="U21" s="239" t="e">
        <f t="shared" si="8"/>
        <v>#N/A</v>
      </c>
      <c r="V21" s="240">
        <f t="shared" si="9"/>
        <v>-58.918215842782416</v>
      </c>
      <c r="W21" s="240">
        <f t="shared" si="10"/>
        <v>-24.556054621994193</v>
      </c>
      <c r="X21" s="240"/>
      <c r="Y21" s="299"/>
    </row>
    <row r="22" spans="13:31">
      <c r="M22" s="306">
        <f t="shared" si="11"/>
        <v>47.009342677405868</v>
      </c>
      <c r="N22" s="307">
        <f t="shared" si="5"/>
        <v>47.009342677405868</v>
      </c>
      <c r="O22" s="308">
        <f t="shared" si="12"/>
        <v>0.82046780891901894</v>
      </c>
      <c r="P22" s="235" t="e">
        <f t="shared" si="13"/>
        <v>#N/A</v>
      </c>
      <c r="Q22" s="236" t="e">
        <f t="shared" si="14"/>
        <v>#N/A</v>
      </c>
      <c r="R22" s="236">
        <f t="shared" si="2"/>
        <v>59.549737465228809</v>
      </c>
      <c r="S22" s="237">
        <f t="shared" si="3"/>
        <v>23.9245329995478</v>
      </c>
      <c r="T22" s="238" t="e">
        <f t="shared" si="7"/>
        <v>#N/A</v>
      </c>
      <c r="U22" s="239" t="e">
        <f t="shared" si="8"/>
        <v>#N/A</v>
      </c>
      <c r="V22" s="240">
        <f t="shared" si="9"/>
        <v>-59.549737465228809</v>
      </c>
      <c r="W22" s="240">
        <f t="shared" si="10"/>
        <v>-23.9245329995478</v>
      </c>
      <c r="X22" s="240"/>
      <c r="Y22" s="299"/>
    </row>
    <row r="23" spans="13:31">
      <c r="M23" s="306">
        <f t="shared" si="11"/>
        <v>46.694317339664529</v>
      </c>
      <c r="N23" s="307">
        <f t="shared" si="5"/>
        <v>46.694317339664529</v>
      </c>
      <c r="O23" s="308">
        <f t="shared" si="12"/>
        <v>0.81496957954822546</v>
      </c>
      <c r="P23" s="235" t="e">
        <f t="shared" si="13"/>
        <v>#N/A</v>
      </c>
      <c r="Q23" s="236" t="e">
        <f t="shared" si="14"/>
        <v>#N/A</v>
      </c>
      <c r="R23" s="236">
        <f t="shared" si="2"/>
        <v>60.145572726653157</v>
      </c>
      <c r="S23" s="237">
        <f t="shared" si="3"/>
        <v>23.328697738123449</v>
      </c>
      <c r="T23" s="238" t="e">
        <f t="shared" si="7"/>
        <v>#N/A</v>
      </c>
      <c r="U23" s="239" t="e">
        <f t="shared" si="8"/>
        <v>#N/A</v>
      </c>
      <c r="V23" s="240">
        <f>IF(R23&lt;0,ABS(R23),IF(R23&gt;360,-(R23-360),IF(AND(R23&gt;180,R23&lt;360),ABS(360-R23),-R23)))</f>
        <v>-60.145572726653157</v>
      </c>
      <c r="W23" s="240">
        <f t="shared" si="10"/>
        <v>-23.328697738123449</v>
      </c>
      <c r="X23" s="240"/>
      <c r="Y23" s="299"/>
    </row>
    <row r="24" spans="13:31">
      <c r="M24" s="306">
        <f t="shared" si="11"/>
        <v>46.37929200192319</v>
      </c>
      <c r="N24" s="307">
        <f t="shared" si="5"/>
        <v>46.37929200192319</v>
      </c>
      <c r="O24" s="308">
        <f t="shared" si="12"/>
        <v>0.80947135017743188</v>
      </c>
      <c r="P24" s="235" t="e">
        <f t="shared" si="13"/>
        <v>#N/A</v>
      </c>
      <c r="Q24" s="236" t="e">
        <f t="shared" si="14"/>
        <v>#N/A</v>
      </c>
      <c r="R24" s="236">
        <f t="shared" si="2"/>
        <v>60.709322416578075</v>
      </c>
      <c r="S24" s="237">
        <f t="shared" si="3"/>
        <v>22.764948048198526</v>
      </c>
      <c r="T24" s="238" t="e">
        <f t="shared" si="7"/>
        <v>#N/A</v>
      </c>
      <c r="U24" s="239" t="e">
        <f t="shared" si="8"/>
        <v>#N/A</v>
      </c>
      <c r="V24" s="240">
        <f t="shared" si="9"/>
        <v>-60.709322416578075</v>
      </c>
      <c r="W24" s="240">
        <f t="shared" si="10"/>
        <v>-22.764948048198526</v>
      </c>
      <c r="X24" s="240"/>
      <c r="Y24" s="299"/>
    </row>
    <row r="25" spans="13:31">
      <c r="M25" s="306">
        <f t="shared" si="11"/>
        <v>46.064266664181851</v>
      </c>
      <c r="N25" s="307">
        <f t="shared" si="5"/>
        <v>46.064266664181851</v>
      </c>
      <c r="O25" s="308">
        <f t="shared" si="12"/>
        <v>0.80397312080663841</v>
      </c>
      <c r="P25" s="235" t="e">
        <f t="shared" si="13"/>
        <v>#N/A</v>
      </c>
      <c r="Q25" s="236" t="e">
        <f t="shared" si="14"/>
        <v>#N/A</v>
      </c>
      <c r="R25" s="236">
        <f t="shared" si="2"/>
        <v>61.243994108586769</v>
      </c>
      <c r="S25" s="237">
        <f t="shared" si="3"/>
        <v>22.230276356189837</v>
      </c>
      <c r="T25" s="238" t="e">
        <f t="shared" si="7"/>
        <v>#N/A</v>
      </c>
      <c r="U25" s="239" t="e">
        <f t="shared" si="8"/>
        <v>#N/A</v>
      </c>
      <c r="V25" s="240">
        <f t="shared" si="9"/>
        <v>-61.243994108586769</v>
      </c>
      <c r="W25" s="240">
        <f t="shared" si="10"/>
        <v>-22.230276356189837</v>
      </c>
      <c r="X25" s="240"/>
      <c r="Y25" s="299"/>
    </row>
    <row r="26" spans="13:31">
      <c r="M26" s="306">
        <f t="shared" si="11"/>
        <v>45.749241326440512</v>
      </c>
      <c r="N26" s="307">
        <f t="shared" si="5"/>
        <v>45.749241326440512</v>
      </c>
      <c r="O26" s="308">
        <f t="shared" si="12"/>
        <v>0.79847489143584482</v>
      </c>
      <c r="P26" s="235" t="e">
        <f t="shared" si="13"/>
        <v>#N/A</v>
      </c>
      <c r="Q26" s="236" t="e">
        <f t="shared" si="14"/>
        <v>#N/A</v>
      </c>
      <c r="R26" s="236">
        <f t="shared" si="2"/>
        <v>61.752132292945277</v>
      </c>
      <c r="S26" s="237">
        <f t="shared" si="3"/>
        <v>21.722138171831329</v>
      </c>
      <c r="T26" s="238" t="e">
        <f t="shared" si="7"/>
        <v>#N/A</v>
      </c>
      <c r="U26" s="239" t="e">
        <f t="shared" si="8"/>
        <v>#N/A</v>
      </c>
      <c r="V26" s="240">
        <f t="shared" si="9"/>
        <v>-61.752132292945277</v>
      </c>
      <c r="W26" s="240">
        <f t="shared" si="10"/>
        <v>-21.722138171831329</v>
      </c>
      <c r="X26" s="240"/>
      <c r="Y26" s="299"/>
    </row>
    <row r="27" spans="13:31">
      <c r="M27" s="306">
        <f t="shared" si="11"/>
        <v>45.434215988699172</v>
      </c>
      <c r="N27" s="307">
        <f t="shared" si="5"/>
        <v>45.434215988699172</v>
      </c>
      <c r="O27" s="308">
        <f t="shared" si="12"/>
        <v>0.79297666206505135</v>
      </c>
      <c r="P27" s="235" t="e">
        <f t="shared" si="13"/>
        <v>#N/A</v>
      </c>
      <c r="Q27" s="236" t="e">
        <f t="shared" si="14"/>
        <v>#N/A</v>
      </c>
      <c r="R27" s="236">
        <f t="shared" si="2"/>
        <v>62.235913749665457</v>
      </c>
      <c r="S27" s="237">
        <f t="shared" si="3"/>
        <v>21.238356715111145</v>
      </c>
      <c r="T27" s="238" t="e">
        <f t="shared" si="7"/>
        <v>#N/A</v>
      </c>
      <c r="U27" s="239" t="e">
        <f t="shared" si="8"/>
        <v>#N/A</v>
      </c>
      <c r="V27" s="240">
        <f t="shared" si="9"/>
        <v>-62.235913749665457</v>
      </c>
      <c r="W27" s="240">
        <f t="shared" si="10"/>
        <v>-21.238356715111145</v>
      </c>
      <c r="X27" s="240"/>
      <c r="Y27" s="299"/>
    </row>
    <row r="28" spans="13:31">
      <c r="M28" s="306">
        <f t="shared" si="11"/>
        <v>45.119190650957833</v>
      </c>
      <c r="N28" s="307">
        <f t="shared" si="5"/>
        <v>45.119190650957833</v>
      </c>
      <c r="O28" s="308">
        <f t="shared" si="12"/>
        <v>0.78747843269425777</v>
      </c>
      <c r="P28" s="235" t="e">
        <f t="shared" si="13"/>
        <v>#N/A</v>
      </c>
      <c r="Q28" s="236" t="e">
        <f t="shared" si="14"/>
        <v>#N/A</v>
      </c>
      <c r="R28" s="236">
        <f t="shared" si="2"/>
        <v>62.697218904159072</v>
      </c>
      <c r="S28" s="237">
        <f t="shared" si="3"/>
        <v>20.777051560617529</v>
      </c>
      <c r="T28" s="238" t="e">
        <f t="shared" si="7"/>
        <v>#N/A</v>
      </c>
      <c r="U28" s="239" t="e">
        <f t="shared" si="8"/>
        <v>#N/A</v>
      </c>
      <c r="V28" s="240">
        <f t="shared" si="9"/>
        <v>-62.697218904159072</v>
      </c>
      <c r="W28" s="240">
        <f t="shared" si="10"/>
        <v>-20.777051560617529</v>
      </c>
      <c r="X28" s="240"/>
      <c r="Y28" s="299"/>
    </row>
    <row r="29" spans="13:31">
      <c r="M29" s="306">
        <f t="shared" si="11"/>
        <v>44.804165313216494</v>
      </c>
      <c r="N29" s="307">
        <f t="shared" si="5"/>
        <v>44.804165313216494</v>
      </c>
      <c r="O29" s="308">
        <f t="shared" si="12"/>
        <v>0.7819802033234643</v>
      </c>
      <c r="P29" s="235">
        <f t="shared" si="13"/>
        <v>352.09390952906068</v>
      </c>
      <c r="Q29" s="236">
        <f t="shared" si="14"/>
        <v>350.66952878275589</v>
      </c>
      <c r="R29" s="236">
        <f t="shared" si="2"/>
        <v>63.137686187175774</v>
      </c>
      <c r="S29" s="237">
        <f t="shared" si="3"/>
        <v>20.336584277600835</v>
      </c>
      <c r="T29" s="238">
        <f t="shared" si="7"/>
        <v>7.9060904709393185</v>
      </c>
      <c r="U29" s="239">
        <f t="shared" si="8"/>
        <v>9.33047121724411</v>
      </c>
      <c r="V29" s="240">
        <f t="shared" si="9"/>
        <v>-63.137686187175774</v>
      </c>
      <c r="W29" s="240">
        <f t="shared" si="10"/>
        <v>-20.336584277600835</v>
      </c>
      <c r="X29" s="240"/>
      <c r="Y29" s="299"/>
    </row>
    <row r="30" spans="13:31">
      <c r="M30" s="306">
        <f t="shared" si="11"/>
        <v>44.489139975475155</v>
      </c>
      <c r="N30" s="307">
        <f t="shared" si="5"/>
        <v>44.489139975475155</v>
      </c>
      <c r="O30" s="308">
        <f t="shared" si="12"/>
        <v>0.77648197395267071</v>
      </c>
      <c r="P30" s="235">
        <f t="shared" si="13"/>
        <v>355.93643971827004</v>
      </c>
      <c r="Q30" s="236">
        <f t="shared" si="14"/>
        <v>346.82699859354648</v>
      </c>
      <c r="R30" s="236">
        <f t="shared" si="2"/>
        <v>63.558754113248355</v>
      </c>
      <c r="S30" s="237">
        <f t="shared" si="3"/>
        <v>19.91551635152825</v>
      </c>
      <c r="T30" s="238">
        <f t="shared" si="7"/>
        <v>4.0635602817299628</v>
      </c>
      <c r="U30" s="239">
        <f t="shared" si="8"/>
        <v>13.173001406453523</v>
      </c>
      <c r="V30" s="240">
        <f t="shared" si="9"/>
        <v>-63.558754113248355</v>
      </c>
      <c r="W30" s="240">
        <f t="shared" si="10"/>
        <v>-19.91551635152825</v>
      </c>
      <c r="X30" s="240"/>
      <c r="Y30" s="299"/>
    </row>
    <row r="31" spans="13:31">
      <c r="M31" s="306">
        <f t="shared" si="11"/>
        <v>44.174114637733815</v>
      </c>
      <c r="N31" s="307">
        <f t="shared" si="5"/>
        <v>44.174114637733815</v>
      </c>
      <c r="O31" s="308">
        <f t="shared" si="12"/>
        <v>0.77098374458187724</v>
      </c>
      <c r="P31" s="235">
        <f t="shared" si="13"/>
        <v>357.74621755587913</v>
      </c>
      <c r="Q31" s="236">
        <f t="shared" si="14"/>
        <v>345.01722075593739</v>
      </c>
      <c r="R31" s="236">
        <f t="shared" si="2"/>
        <v>63.961694318106694</v>
      </c>
      <c r="S31" s="237">
        <f t="shared" si="3"/>
        <v>19.512576146669907</v>
      </c>
      <c r="T31" s="238">
        <f t="shared" si="7"/>
        <v>2.2537824441208727</v>
      </c>
      <c r="U31" s="239">
        <f t="shared" si="8"/>
        <v>14.982779244062613</v>
      </c>
      <c r="V31" s="240">
        <f t="shared" si="9"/>
        <v>-63.961694318106694</v>
      </c>
      <c r="W31" s="240">
        <f t="shared" si="10"/>
        <v>-19.512576146669907</v>
      </c>
      <c r="X31" s="240"/>
      <c r="Y31" s="299"/>
    </row>
    <row r="32" spans="13:31">
      <c r="M32" s="306">
        <f t="shared" si="11"/>
        <v>43.859089299992476</v>
      </c>
      <c r="N32" s="307">
        <f t="shared" si="5"/>
        <v>43.859089299992476</v>
      </c>
      <c r="O32" s="308">
        <f t="shared" si="12"/>
        <v>0.76548551521108377</v>
      </c>
      <c r="P32" s="235">
        <f t="shared" si="13"/>
        <v>359.11470030958816</v>
      </c>
      <c r="Q32" s="236">
        <f t="shared" si="14"/>
        <v>343.64873800222841</v>
      </c>
      <c r="R32" s="236">
        <f t="shared" si="2"/>
        <v>64.347637829524984</v>
      </c>
      <c r="S32" s="237">
        <f t="shared" si="3"/>
        <v>19.126632635251624</v>
      </c>
      <c r="T32" s="238">
        <f t="shared" si="7"/>
        <v>0.88529969041184131</v>
      </c>
      <c r="U32" s="239">
        <f t="shared" si="8"/>
        <v>16.351261997771587</v>
      </c>
      <c r="V32" s="240">
        <f t="shared" si="9"/>
        <v>-64.347637829524984</v>
      </c>
      <c r="W32" s="240">
        <f t="shared" si="10"/>
        <v>-19.126632635251624</v>
      </c>
      <c r="X32" s="240"/>
      <c r="Y32" s="299"/>
    </row>
    <row r="33" spans="13:25">
      <c r="M33" s="306">
        <f t="shared" si="11"/>
        <v>43.544063962251137</v>
      </c>
      <c r="N33" s="307">
        <f t="shared" si="5"/>
        <v>43.544063962251137</v>
      </c>
      <c r="O33" s="308">
        <f t="shared" si="12"/>
        <v>0.75998728584029018</v>
      </c>
      <c r="P33" s="235">
        <f t="shared" si="13"/>
        <v>360.24904448873298</v>
      </c>
      <c r="Q33" s="236">
        <f t="shared" si="14"/>
        <v>342.51439382308359</v>
      </c>
      <c r="R33" s="236">
        <f t="shared" si="2"/>
        <v>64.717596198134416</v>
      </c>
      <c r="S33" s="237">
        <f t="shared" si="3"/>
        <v>18.75667426664219</v>
      </c>
      <c r="T33" s="238">
        <f t="shared" si="7"/>
        <v>-0.24904448873297724</v>
      </c>
      <c r="U33" s="239">
        <f t="shared" si="8"/>
        <v>17.485606176916406</v>
      </c>
      <c r="V33" s="240">
        <f t="shared" si="9"/>
        <v>-64.717596198134416</v>
      </c>
      <c r="W33" s="240">
        <f t="shared" si="10"/>
        <v>-18.75667426664219</v>
      </c>
      <c r="X33" s="240"/>
      <c r="Y33" s="299"/>
    </row>
    <row r="34" spans="13:25">
      <c r="M34" s="306">
        <f t="shared" si="11"/>
        <v>43.229038624509798</v>
      </c>
      <c r="N34" s="307">
        <f t="shared" si="5"/>
        <v>43.229038624509798</v>
      </c>
      <c r="O34" s="308">
        <f t="shared" si="12"/>
        <v>0.75448905646949671</v>
      </c>
      <c r="P34" s="235">
        <f t="shared" si="13"/>
        <v>361.23085821938855</v>
      </c>
      <c r="Q34" s="236">
        <f t="shared" si="14"/>
        <v>341.53258009242796</v>
      </c>
      <c r="R34" s="236">
        <f t="shared" si="2"/>
        <v>65.072478671076624</v>
      </c>
      <c r="S34" s="237">
        <f t="shared" si="3"/>
        <v>18.401791793699985</v>
      </c>
      <c r="T34" s="238">
        <f t="shared" si="7"/>
        <v>-1.2308582193885513</v>
      </c>
      <c r="U34" s="239">
        <f t="shared" si="8"/>
        <v>18.467419907572037</v>
      </c>
      <c r="V34" s="240">
        <f t="shared" si="9"/>
        <v>-65.072478671076624</v>
      </c>
      <c r="W34" s="240">
        <f t="shared" si="10"/>
        <v>-18.401791793699985</v>
      </c>
      <c r="X34" s="240"/>
      <c r="Y34" s="299"/>
    </row>
    <row r="35" spans="13:25">
      <c r="M35" s="306">
        <f t="shared" si="11"/>
        <v>42.914013286768458</v>
      </c>
      <c r="N35" s="307">
        <f t="shared" si="5"/>
        <v>42.914013286768458</v>
      </c>
      <c r="O35" s="308">
        <f t="shared" si="12"/>
        <v>0.74899082709870313</v>
      </c>
      <c r="P35" s="235">
        <f t="shared" si="13"/>
        <v>362.10246431012018</v>
      </c>
      <c r="Q35" s="236">
        <f t="shared" si="14"/>
        <v>340.66097400169633</v>
      </c>
      <c r="R35" s="236">
        <f t="shared" si="2"/>
        <v>65.413106281893221</v>
      </c>
      <c r="S35" s="237">
        <f t="shared" si="3"/>
        <v>18.061164182883388</v>
      </c>
      <c r="T35" s="238">
        <f t="shared" si="7"/>
        <v>-2.1024643101201832</v>
      </c>
      <c r="U35" s="239">
        <f t="shared" si="8"/>
        <v>19.339025998303669</v>
      </c>
      <c r="V35" s="240">
        <f t="shared" si="9"/>
        <v>-65.413106281893221</v>
      </c>
      <c r="W35" s="240">
        <f t="shared" si="10"/>
        <v>-18.061164182883388</v>
      </c>
      <c r="X35" s="240"/>
      <c r="Y35" s="299"/>
    </row>
    <row r="36" spans="13:25">
      <c r="M36" s="306">
        <f t="shared" si="11"/>
        <v>42.598987949027119</v>
      </c>
      <c r="N36" s="307">
        <f t="shared" si="5"/>
        <v>42.598987949027119</v>
      </c>
      <c r="O36" s="308">
        <f t="shared" si="12"/>
        <v>0.74349259772790965</v>
      </c>
      <c r="P36" s="235">
        <f t="shared" si="13"/>
        <v>362.88923511740978</v>
      </c>
      <c r="Q36" s="236">
        <f t="shared" si="14"/>
        <v>339.87420319440679</v>
      </c>
      <c r="R36" s="236">
        <f t="shared" si="2"/>
        <v>65.740223510495198</v>
      </c>
      <c r="S36" s="237">
        <f t="shared" si="3"/>
        <v>17.734046954281411</v>
      </c>
      <c r="T36" s="238">
        <f t="shared" si="7"/>
        <v>-2.8892351174097826</v>
      </c>
      <c r="U36" s="239">
        <f t="shared" si="8"/>
        <v>20.125796805593211</v>
      </c>
      <c r="V36" s="240">
        <f t="shared" si="9"/>
        <v>-65.740223510495198</v>
      </c>
      <c r="W36" s="240">
        <f t="shared" si="10"/>
        <v>-17.734046954281411</v>
      </c>
      <c r="X36" s="240"/>
      <c r="Y36" s="299"/>
    </row>
    <row r="37" spans="13:25">
      <c r="M37" s="306">
        <f t="shared" si="11"/>
        <v>42.28396261128578</v>
      </c>
      <c r="N37" s="307">
        <f t="shared" si="5"/>
        <v>42.28396261128578</v>
      </c>
      <c r="O37" s="308">
        <f t="shared" si="12"/>
        <v>0.73799436835711607</v>
      </c>
      <c r="P37" s="235">
        <f t="shared" si="13"/>
        <v>363.60783727357307</v>
      </c>
      <c r="Q37" s="236">
        <f t="shared" si="14"/>
        <v>339.15560103824345</v>
      </c>
      <c r="R37" s="236">
        <f t="shared" si="2"/>
        <v>66.054508008901578</v>
      </c>
      <c r="S37" s="237">
        <f t="shared" si="3"/>
        <v>17.419762455875034</v>
      </c>
      <c r="T37" s="238">
        <f t="shared" si="7"/>
        <v>-3.6078372735730682</v>
      </c>
      <c r="U37" s="239">
        <f t="shared" si="8"/>
        <v>20.844398961756553</v>
      </c>
      <c r="V37" s="240">
        <f t="shared" si="9"/>
        <v>-66.054508008901578</v>
      </c>
      <c r="W37" s="240">
        <f t="shared" si="10"/>
        <v>-17.419762455875034</v>
      </c>
      <c r="X37" s="240"/>
      <c r="Y37" s="299"/>
    </row>
    <row r="38" spans="13:25">
      <c r="M38" s="306">
        <f t="shared" si="11"/>
        <v>41.968937273544441</v>
      </c>
      <c r="N38" s="307">
        <f t="shared" si="5"/>
        <v>41.968937273544441</v>
      </c>
      <c r="O38" s="308">
        <f t="shared" si="12"/>
        <v>0.7324961389863226</v>
      </c>
      <c r="P38" s="235">
        <f t="shared" si="13"/>
        <v>364.26993523859647</v>
      </c>
      <c r="Q38" s="236">
        <f t="shared" si="14"/>
        <v>338.4935030732201</v>
      </c>
      <c r="R38" s="236">
        <f t="shared" si="2"/>
        <v>66.356578772898928</v>
      </c>
      <c r="S38" s="237">
        <f t="shared" si="3"/>
        <v>17.117691691877685</v>
      </c>
      <c r="T38" s="238">
        <f t="shared" si="7"/>
        <v>-4.2699352385964744</v>
      </c>
      <c r="U38" s="239">
        <f t="shared" si="8"/>
        <v>21.506496926779903</v>
      </c>
      <c r="V38" s="240">
        <f t="shared" si="9"/>
        <v>-66.356578772898928</v>
      </c>
      <c r="W38" s="240">
        <f t="shared" si="10"/>
        <v>-17.117691691877685</v>
      </c>
      <c r="X38" s="240"/>
      <c r="Y38" s="299"/>
    </row>
    <row r="39" spans="13:25">
      <c r="M39" s="306">
        <f t="shared" ref="M39:M96" si="15">IF(N39&gt;maxn,maxn,IF(N39&lt;mins,mins,N39))</f>
        <v>41.653911935803102</v>
      </c>
      <c r="N39" s="307">
        <f t="shared" si="5"/>
        <v>41.653911935803102</v>
      </c>
      <c r="O39" s="308">
        <f t="shared" ref="O39:O96" si="16">RADIANS(M39)</f>
        <v>0.72699790961552901</v>
      </c>
      <c r="P39" s="235">
        <f t="shared" ref="P39:P96" si="17">IFERROR(DEGREES(grt+ACOS((SIN(h)-SIN(d)*SIN(O39))/COS(d)/COS(O39))),#N/A)</f>
        <v>364.8840828205943</v>
      </c>
      <c r="Q39" s="236">
        <f t="shared" ref="Q39:Q96" si="18">IFERROR(DEGREES(grt-ACOS((SIN(h)-SIN(d)*SIN(O39))/COS(d)/COS(O39))),#N/A)</f>
        <v>337.87935549122221</v>
      </c>
      <c r="R39" s="236">
        <f t="shared" si="2"/>
        <v>66.647003054280304</v>
      </c>
      <c r="S39" s="237">
        <f t="shared" si="3"/>
        <v>16.827267410496297</v>
      </c>
      <c r="T39" s="238">
        <f t="shared" ref="T39:T96" si="19">IF(P39&lt;0,ABS(P39),IF(P39&gt;360,-(P39-360),IF(AND(P39&gt;180,P39&lt;360),ABS(360-P39),-P39)))</f>
        <v>-4.8840828205943012</v>
      </c>
      <c r="U39" s="239">
        <f t="shared" ref="U39:U96" si="20">IF(Q39&lt;0,ABS(Q39),IF(Q39&gt;360,Q39-(Q39-360),IF(AND(Q39&gt;180,Q39&lt;360),ABS(360-Q39),-Q39)))</f>
        <v>22.120644508777787</v>
      </c>
      <c r="V39" s="240">
        <f t="shared" ref="V39:V96" si="21">IF(R39&lt;0,ABS(R39),IF(R39&gt;360,-(R39-360),IF(AND(R39&gt;180,R39&lt;360),ABS(360-R39),-R39)))</f>
        <v>-66.647003054280304</v>
      </c>
      <c r="W39" s="240">
        <f t="shared" ref="W39:W96" si="22">IF(S39&lt;0,ABS(S39),IF(S39&gt;360,-(S39-360),IF(AND(S39&gt;180,S39&lt;360),ABS(360-S39),-S39)))</f>
        <v>-16.827267410496297</v>
      </c>
      <c r="X39" s="240"/>
      <c r="Y39" s="299"/>
    </row>
    <row r="40" spans="13:25">
      <c r="M40" s="306">
        <f t="shared" si="15"/>
        <v>41.338886598061762</v>
      </c>
      <c r="N40" s="307">
        <f t="shared" si="5"/>
        <v>41.338886598061762</v>
      </c>
      <c r="O40" s="308">
        <f t="shared" si="16"/>
        <v>0.72149968024473554</v>
      </c>
      <c r="P40" s="235">
        <f t="shared" si="17"/>
        <v>365.4567818653727</v>
      </c>
      <c r="Q40" s="236">
        <f t="shared" si="18"/>
        <v>337.30665644644387</v>
      </c>
      <c r="R40" s="236">
        <f t="shared" ref="R40:R71" si="23">IFERROR(DEGREES(grt_+ACOS((SIN(h_)-SIN(d_)*SIN(O40))/COS(d_)/COS(O40))),#N/A)</f>
        <v>66.926302244304111</v>
      </c>
      <c r="S40" s="237">
        <f t="shared" ref="S40:S71" si="24">IFERROR(DEGREES(grt_-ACOS((SIN(h_)-SIN(d_)*SIN(O40))/COS(d_)/COS(O40))),#N/A)</f>
        <v>16.547968220472494</v>
      </c>
      <c r="T40" s="238">
        <f t="shared" si="19"/>
        <v>-5.4567818653727045</v>
      </c>
      <c r="U40" s="239">
        <f t="shared" si="20"/>
        <v>22.693343553556133</v>
      </c>
      <c r="V40" s="240">
        <f t="shared" si="21"/>
        <v>-66.926302244304111</v>
      </c>
      <c r="W40" s="240">
        <f t="shared" si="22"/>
        <v>-16.547968220472494</v>
      </c>
      <c r="X40" s="240"/>
      <c r="Y40" s="299"/>
    </row>
    <row r="41" spans="13:25" hidden="1">
      <c r="M41" s="306">
        <f t="shared" si="15"/>
        <v>41.023861260320423</v>
      </c>
      <c r="N41" s="307">
        <f t="shared" si="5"/>
        <v>41.023861260320423</v>
      </c>
      <c r="O41" s="308">
        <f t="shared" si="16"/>
        <v>0.71600145087394196</v>
      </c>
      <c r="P41" s="235">
        <f t="shared" si="17"/>
        <v>365.99311713576162</v>
      </c>
      <c r="Q41" s="236">
        <f t="shared" si="18"/>
        <v>336.77032117605495</v>
      </c>
      <c r="R41" s="236">
        <f t="shared" si="23"/>
        <v>67.194956910553884</v>
      </c>
      <c r="S41" s="237">
        <f t="shared" si="24"/>
        <v>16.279313554222721</v>
      </c>
      <c r="T41" s="238">
        <f t="shared" si="19"/>
        <v>-5.9931171357616222</v>
      </c>
      <c r="U41" s="239">
        <f t="shared" si="20"/>
        <v>23.229678823945051</v>
      </c>
      <c r="V41" s="240">
        <f t="shared" si="21"/>
        <v>-67.194956910553884</v>
      </c>
      <c r="W41" s="240">
        <f t="shared" si="22"/>
        <v>-16.279313554222721</v>
      </c>
      <c r="X41" s="240"/>
      <c r="Y41" s="299"/>
    </row>
    <row r="42" spans="13:25" hidden="1">
      <c r="M42" s="306">
        <f t="shared" si="15"/>
        <v>40.708835922579084</v>
      </c>
      <c r="N42" s="307">
        <f t="shared" si="5"/>
        <v>40.708835922579084</v>
      </c>
      <c r="O42" s="308">
        <f t="shared" si="16"/>
        <v>0.71050322150314849</v>
      </c>
      <c r="P42" s="235">
        <f t="shared" si="17"/>
        <v>366.49715817642192</v>
      </c>
      <c r="Q42" s="236">
        <f t="shared" si="18"/>
        <v>336.26628013539465</v>
      </c>
      <c r="R42" s="236">
        <f t="shared" si="23"/>
        <v>67.453411132316518</v>
      </c>
      <c r="S42" s="237">
        <f t="shared" si="24"/>
        <v>16.020859332460081</v>
      </c>
      <c r="T42" s="238">
        <f t="shared" si="19"/>
        <v>-6.4971581764219195</v>
      </c>
      <c r="U42" s="239">
        <f t="shared" si="20"/>
        <v>23.733719864605348</v>
      </c>
      <c r="V42" s="240">
        <f t="shared" si="21"/>
        <v>-67.453411132316518</v>
      </c>
      <c r="W42" s="240">
        <f t="shared" si="22"/>
        <v>-16.020859332460081</v>
      </c>
      <c r="X42" s="240"/>
      <c r="Y42" s="299"/>
    </row>
    <row r="43" spans="13:25" hidden="1">
      <c r="M43" s="306">
        <f t="shared" si="15"/>
        <v>40.393810584837745</v>
      </c>
      <c r="N43" s="307">
        <f t="shared" si="5"/>
        <v>40.393810584837745</v>
      </c>
      <c r="O43" s="308">
        <f t="shared" si="16"/>
        <v>0.7050049921323549</v>
      </c>
      <c r="P43" s="235">
        <f t="shared" si="17"/>
        <v>366.97222500737519</v>
      </c>
      <c r="Q43" s="236">
        <f t="shared" si="18"/>
        <v>335.79121330444138</v>
      </c>
      <c r="R43" s="236">
        <f t="shared" si="23"/>
        <v>67.702076250988611</v>
      </c>
      <c r="S43" s="237">
        <f t="shared" si="24"/>
        <v>15.772194213787991</v>
      </c>
      <c r="T43" s="238">
        <f t="shared" si="19"/>
        <v>-6.9722250073751866</v>
      </c>
      <c r="U43" s="239">
        <f t="shared" si="20"/>
        <v>24.208786695558615</v>
      </c>
      <c r="V43" s="240">
        <f t="shared" si="21"/>
        <v>-67.702076250988611</v>
      </c>
      <c r="W43" s="240">
        <f t="shared" si="22"/>
        <v>-15.772194213787991</v>
      </c>
      <c r="X43" s="240"/>
      <c r="Y43" s="299"/>
    </row>
    <row r="44" spans="13:25" hidden="1">
      <c r="M44" s="306">
        <f t="shared" si="15"/>
        <v>40.078785247096405</v>
      </c>
      <c r="N44" s="307">
        <f t="shared" si="5"/>
        <v>40.078785247096405</v>
      </c>
      <c r="O44" s="308">
        <f t="shared" si="16"/>
        <v>0.69950676276156143</v>
      </c>
      <c r="P44" s="235">
        <f t="shared" si="17"/>
        <v>367.42107020667663</v>
      </c>
      <c r="Q44" s="236">
        <f t="shared" si="18"/>
        <v>335.34236810513994</v>
      </c>
      <c r="R44" s="236">
        <f t="shared" si="23"/>
        <v>67.941334129737925</v>
      </c>
      <c r="S44" s="237">
        <f t="shared" si="24"/>
        <v>15.532936335038682</v>
      </c>
      <c r="T44" s="238">
        <f t="shared" si="19"/>
        <v>-7.4210702066766316</v>
      </c>
      <c r="U44" s="239">
        <f t="shared" si="20"/>
        <v>24.65763189486006</v>
      </c>
      <c r="V44" s="240">
        <f t="shared" si="21"/>
        <v>-67.941334129737925</v>
      </c>
      <c r="W44" s="240">
        <f t="shared" si="22"/>
        <v>-15.532936335038682</v>
      </c>
      <c r="X44" s="240"/>
      <c r="Y44" s="299"/>
    </row>
    <row r="45" spans="13:25" hidden="1">
      <c r="M45" s="306">
        <f t="shared" si="15"/>
        <v>39.763759909355066</v>
      </c>
      <c r="N45" s="307">
        <f t="shared" si="5"/>
        <v>39.763759909355066</v>
      </c>
      <c r="O45" s="308">
        <f t="shared" si="16"/>
        <v>0.69400853339076785</v>
      </c>
      <c r="P45" s="235">
        <f t="shared" si="17"/>
        <v>367.84600750863609</v>
      </c>
      <c r="Q45" s="236">
        <f t="shared" si="18"/>
        <v>334.91743080318048</v>
      </c>
      <c r="R45" s="236">
        <f t="shared" si="23"/>
        <v>68.171539999150937</v>
      </c>
      <c r="S45" s="237">
        <f t="shared" si="24"/>
        <v>15.30273046562567</v>
      </c>
      <c r="T45" s="238">
        <f t="shared" si="19"/>
        <v>-7.8460075086360916</v>
      </c>
      <c r="U45" s="239">
        <f t="shared" si="20"/>
        <v>25.08256919681952</v>
      </c>
      <c r="V45" s="240">
        <f t="shared" si="21"/>
        <v>-68.171539999150937</v>
      </c>
      <c r="W45" s="240">
        <f t="shared" si="22"/>
        <v>-15.30273046562567</v>
      </c>
      <c r="X45" s="240"/>
      <c r="Y45" s="299"/>
    </row>
    <row r="46" spans="13:25" hidden="1">
      <c r="M46" s="306">
        <f t="shared" si="15"/>
        <v>39.448734571613727</v>
      </c>
      <c r="N46" s="307">
        <f t="shared" si="5"/>
        <v>39.448734571613727</v>
      </c>
      <c r="O46" s="308">
        <f t="shared" si="16"/>
        <v>0.68851030401997437</v>
      </c>
      <c r="P46" s="235">
        <f t="shared" si="17"/>
        <v>368.24900498732814</v>
      </c>
      <c r="Q46" s="236">
        <f t="shared" si="18"/>
        <v>334.51443332448844</v>
      </c>
      <c r="R46" s="236">
        <f t="shared" si="23"/>
        <v>68.393024951754541</v>
      </c>
      <c r="S46" s="237">
        <f t="shared" si="24"/>
        <v>15.081245513022061</v>
      </c>
      <c r="T46" s="238">
        <f t="shared" si="19"/>
        <v>-8.249004987328135</v>
      </c>
      <c r="U46" s="239">
        <f t="shared" si="20"/>
        <v>25.485566675511564</v>
      </c>
      <c r="V46" s="240">
        <f t="shared" si="21"/>
        <v>-68.393024951754541</v>
      </c>
      <c r="W46" s="240">
        <f t="shared" si="22"/>
        <v>-15.081245513022061</v>
      </c>
      <c r="X46" s="240"/>
      <c r="Y46" s="299"/>
    </row>
    <row r="47" spans="13:25" hidden="1">
      <c r="M47" s="306">
        <f t="shared" si="15"/>
        <v>39.133709233872388</v>
      </c>
      <c r="N47" s="307">
        <f t="shared" si="5"/>
        <v>39.133709233872388</v>
      </c>
      <c r="O47" s="308">
        <f t="shared" si="16"/>
        <v>0.68301207464918079</v>
      </c>
      <c r="P47" s="235">
        <f t="shared" si="17"/>
        <v>368.63175408794166</v>
      </c>
      <c r="Q47" s="236">
        <f t="shared" si="18"/>
        <v>334.13168422387491</v>
      </c>
      <c r="R47" s="236">
        <f t="shared" si="23"/>
        <v>68.606098137264794</v>
      </c>
      <c r="S47" s="237">
        <f t="shared" si="24"/>
        <v>14.868172327511806</v>
      </c>
      <c r="T47" s="238">
        <f t="shared" si="19"/>
        <v>-8.6317540879416583</v>
      </c>
      <c r="U47" s="239">
        <f>IF(Q47&lt;0,ABS(Q47),IF(Q47&gt;360,Q47-(Q47-360),IF(AND(Q47&gt;180,Q47&lt;360),ABS(360-Q47),-Q47)))</f>
        <v>25.868315776125087</v>
      </c>
      <c r="V47" s="240">
        <f t="shared" si="21"/>
        <v>-68.606098137264794</v>
      </c>
      <c r="W47" s="240">
        <f t="shared" si="22"/>
        <v>-14.868172327511806</v>
      </c>
      <c r="X47" s="240"/>
      <c r="Y47" s="299"/>
    </row>
    <row r="48" spans="13:25" hidden="1">
      <c r="M48" s="306">
        <f t="shared" si="15"/>
        <v>38.818683896131049</v>
      </c>
      <c r="N48" s="307">
        <f t="shared" si="5"/>
        <v>38.818683896131049</v>
      </c>
      <c r="O48" s="308">
        <f t="shared" si="16"/>
        <v>0.67751384527838732</v>
      </c>
      <c r="P48" s="235">
        <f t="shared" si="17"/>
        <v>368.99572176084155</v>
      </c>
      <c r="Q48" s="236">
        <f t="shared" si="18"/>
        <v>333.76771655097502</v>
      </c>
      <c r="R48" s="236">
        <f t="shared" si="23"/>
        <v>68.811048701561973</v>
      </c>
      <c r="S48" s="237">
        <f t="shared" si="24"/>
        <v>14.663221763214635</v>
      </c>
      <c r="T48" s="238">
        <f t="shared" si="19"/>
        <v>-8.9957217608415476</v>
      </c>
      <c r="U48" s="239">
        <f t="shared" si="20"/>
        <v>26.232283449024976</v>
      </c>
      <c r="V48" s="240">
        <f t="shared" si="21"/>
        <v>-68.811048701561973</v>
      </c>
      <c r="W48" s="240">
        <f t="shared" si="22"/>
        <v>-14.663221763214635</v>
      </c>
      <c r="X48" s="240"/>
      <c r="Y48" s="299"/>
    </row>
    <row r="49" spans="13:25" hidden="1">
      <c r="M49" s="306">
        <f t="shared" si="15"/>
        <v>38.503658558389709</v>
      </c>
      <c r="N49" s="307">
        <f t="shared" si="5"/>
        <v>38.503658558389709</v>
      </c>
      <c r="O49" s="308">
        <f t="shared" si="16"/>
        <v>0.67201561590759373</v>
      </c>
      <c r="P49" s="235">
        <f t="shared" si="17"/>
        <v>369.34219050718025</v>
      </c>
      <c r="Q49" s="236">
        <f t="shared" si="18"/>
        <v>333.42124780463632</v>
      </c>
      <c r="R49" s="236">
        <f t="shared" si="23"/>
        <v>69.008147505241737</v>
      </c>
      <c r="S49" s="237">
        <f t="shared" si="24"/>
        <v>14.466122959534863</v>
      </c>
      <c r="T49" s="238">
        <f t="shared" si="19"/>
        <v>-9.3421905071802485</v>
      </c>
      <c r="U49" s="239">
        <f t="shared" si="20"/>
        <v>26.578752195363677</v>
      </c>
      <c r="V49" s="240">
        <f t="shared" si="21"/>
        <v>-69.008147505241737</v>
      </c>
      <c r="W49" s="240">
        <f t="shared" si="22"/>
        <v>-14.466122959534863</v>
      </c>
      <c r="X49" s="240"/>
      <c r="Y49" s="299"/>
    </row>
    <row r="50" spans="13:25" hidden="1">
      <c r="M50" s="306">
        <f t="shared" si="15"/>
        <v>38.18863322064837</v>
      </c>
      <c r="N50" s="307">
        <f t="shared" si="5"/>
        <v>38.18863322064837</v>
      </c>
      <c r="O50" s="308">
        <f t="shared" si="16"/>
        <v>0.66651738653680026</v>
      </c>
      <c r="P50" s="235">
        <f t="shared" si="17"/>
        <v>369.67228960444152</v>
      </c>
      <c r="Q50" s="236">
        <f t="shared" si="18"/>
        <v>333.09114870737505</v>
      </c>
      <c r="R50" s="236">
        <f t="shared" si="23"/>
        <v>69.197648651780696</v>
      </c>
      <c r="S50" s="237">
        <f t="shared" si="24"/>
        <v>14.276621812995907</v>
      </c>
      <c r="T50" s="238">
        <f t="shared" si="19"/>
        <v>-9.6722896044415165</v>
      </c>
      <c r="U50" s="239">
        <f t="shared" si="20"/>
        <v>26.908851292624945</v>
      </c>
      <c r="V50" s="240">
        <f t="shared" si="21"/>
        <v>-69.197648651780696</v>
      </c>
      <c r="W50" s="240">
        <f t="shared" si="22"/>
        <v>-14.276621812995907</v>
      </c>
      <c r="X50" s="240"/>
      <c r="Y50" s="299"/>
    </row>
    <row r="51" spans="13:25" hidden="1">
      <c r="M51" s="306">
        <f t="shared" si="15"/>
        <v>37.873607882907031</v>
      </c>
      <c r="N51" s="307">
        <f t="shared" si="5"/>
        <v>37.873607882907031</v>
      </c>
      <c r="O51" s="308">
        <f t="shared" si="16"/>
        <v>0.66101915716600668</v>
      </c>
      <c r="P51" s="235">
        <f t="shared" si="17"/>
        <v>369.98701978306838</v>
      </c>
      <c r="Q51" s="236">
        <f t="shared" si="18"/>
        <v>332.7764185287482</v>
      </c>
      <c r="R51" s="236">
        <f t="shared" si="23"/>
        <v>69.37979085060968</v>
      </c>
      <c r="S51" s="237">
        <f t="shared" si="24"/>
        <v>14.09447961416693</v>
      </c>
      <c r="T51" s="238">
        <f t="shared" si="19"/>
        <v>-9.9870197830683765</v>
      </c>
      <c r="U51" s="239">
        <f t="shared" si="20"/>
        <v>27.223581471251805</v>
      </c>
      <c r="V51" s="240">
        <f t="shared" si="21"/>
        <v>-69.37979085060968</v>
      </c>
      <c r="W51" s="240">
        <f t="shared" si="22"/>
        <v>-14.09447961416693</v>
      </c>
      <c r="X51" s="240"/>
      <c r="Y51" s="299"/>
    </row>
    <row r="52" spans="13:25" hidden="1">
      <c r="M52" s="306">
        <f t="shared" si="15"/>
        <v>37.558582545165692</v>
      </c>
      <c r="N52" s="307">
        <f t="shared" si="5"/>
        <v>37.558582545165692</v>
      </c>
      <c r="O52" s="308">
        <f t="shared" si="16"/>
        <v>0.6555209277952132</v>
      </c>
      <c r="P52" s="235">
        <f t="shared" si="17"/>
        <v>370.28727296381044</v>
      </c>
      <c r="Q52" s="236">
        <f t="shared" si="18"/>
        <v>332.47616534800613</v>
      </c>
      <c r="R52" s="236">
        <f t="shared" si="23"/>
        <v>69.55479863648641</v>
      </c>
      <c r="S52" s="237">
        <f t="shared" si="24"/>
        <v>13.919471828290197</v>
      </c>
      <c r="T52" s="238">
        <f t="shared" si="19"/>
        <v>-10.287272963810437</v>
      </c>
      <c r="U52" s="239">
        <f t="shared" si="20"/>
        <v>27.523834651993866</v>
      </c>
      <c r="V52" s="240">
        <f t="shared" si="21"/>
        <v>-69.55479863648641</v>
      </c>
      <c r="W52" s="240">
        <f t="shared" si="22"/>
        <v>-13.919471828290197</v>
      </c>
      <c r="X52" s="240"/>
      <c r="Y52" s="299"/>
    </row>
    <row r="53" spans="13:25" hidden="1">
      <c r="M53" s="306">
        <f t="shared" si="15"/>
        <v>37.243557207424352</v>
      </c>
      <c r="N53" s="307">
        <f t="shared" si="5"/>
        <v>37.243557207424352</v>
      </c>
      <c r="O53" s="308">
        <f t="shared" si="16"/>
        <v>0.65002269842441962</v>
      </c>
      <c r="P53" s="235">
        <f t="shared" si="17"/>
        <v>370.57384821694058</v>
      </c>
      <c r="Q53" s="236">
        <f t="shared" si="18"/>
        <v>332.18959009487594</v>
      </c>
      <c r="R53" s="236">
        <f t="shared" si="23"/>
        <v>69.722883463339883</v>
      </c>
      <c r="S53" s="237">
        <f t="shared" si="24"/>
        <v>13.751387001436719</v>
      </c>
      <c r="T53" s="238">
        <f t="shared" si="19"/>
        <v>-10.573848216940576</v>
      </c>
      <c r="U53" s="239">
        <f t="shared" si="20"/>
        <v>27.810409905124061</v>
      </c>
      <c r="V53" s="240">
        <f t="shared" si="21"/>
        <v>-69.722883463339883</v>
      </c>
      <c r="W53" s="240">
        <f t="shared" si="22"/>
        <v>-13.751387001436719</v>
      </c>
      <c r="X53" s="240"/>
      <c r="Y53" s="299"/>
    </row>
    <row r="54" spans="13:25" hidden="1">
      <c r="M54" s="306">
        <f t="shared" si="15"/>
        <v>36.928531869683013</v>
      </c>
      <c r="N54" s="307">
        <f t="shared" si="5"/>
        <v>36.928531869683013</v>
      </c>
      <c r="O54" s="308">
        <f t="shared" si="16"/>
        <v>0.64452446905362615</v>
      </c>
      <c r="P54" s="235">
        <f t="shared" si="17"/>
        <v>370.8474647944372</v>
      </c>
      <c r="Q54" s="236">
        <f t="shared" si="18"/>
        <v>331.91597351737937</v>
      </c>
      <c r="R54" s="236">
        <f t="shared" si="23"/>
        <v>69.884244688085658</v>
      </c>
      <c r="S54" s="237">
        <f t="shared" si="24"/>
        <v>13.590025776690949</v>
      </c>
      <c r="T54" s="238">
        <f t="shared" si="19"/>
        <v>-10.847464794437201</v>
      </c>
      <c r="U54" s="239">
        <f t="shared" si="20"/>
        <v>28.084026482620629</v>
      </c>
      <c r="V54" s="240">
        <f t="shared" si="21"/>
        <v>-69.884244688085658</v>
      </c>
      <c r="W54" s="240">
        <f t="shared" si="22"/>
        <v>-13.590025776690949</v>
      </c>
      <c r="X54" s="240"/>
      <c r="Y54" s="299"/>
    </row>
    <row r="55" spans="13:25" hidden="1">
      <c r="M55" s="306">
        <f t="shared" si="15"/>
        <v>36.613506531941674</v>
      </c>
      <c r="N55" s="307">
        <f t="shared" si="5"/>
        <v>36.613506531941674</v>
      </c>
      <c r="O55" s="308">
        <f t="shared" si="16"/>
        <v>0.63902623968283256</v>
      </c>
      <c r="P55" s="235">
        <f t="shared" si="17"/>
        <v>371.10877286804327</v>
      </c>
      <c r="Q55" s="236">
        <f t="shared" si="18"/>
        <v>331.65466544377324</v>
      </c>
      <c r="R55" s="236">
        <f t="shared" si="23"/>
        <v>70.039070457683138</v>
      </c>
      <c r="S55" s="237">
        <f t="shared" si="24"/>
        <v>13.435200007093471</v>
      </c>
      <c r="T55" s="238">
        <f t="shared" si="19"/>
        <v>-11.108772868043275</v>
      </c>
      <c r="U55" s="239">
        <f t="shared" si="20"/>
        <v>28.34533455622676</v>
      </c>
      <c r="V55" s="240">
        <f t="shared" si="21"/>
        <v>-70.039070457683138</v>
      </c>
      <c r="W55" s="240">
        <f t="shared" si="22"/>
        <v>-13.435200007093471</v>
      </c>
      <c r="X55" s="240"/>
      <c r="Y55" s="299"/>
    </row>
    <row r="56" spans="13:25" hidden="1">
      <c r="M56" s="306">
        <f t="shared" si="15"/>
        <v>36.298481194200335</v>
      </c>
      <c r="N56" s="307">
        <f t="shared" si="5"/>
        <v>36.298481194200335</v>
      </c>
      <c r="O56" s="308">
        <f t="shared" si="16"/>
        <v>0.63352801031203909</v>
      </c>
      <c r="P56" s="235">
        <f t="shared" si="17"/>
        <v>371.35836245010717</v>
      </c>
      <c r="Q56" s="236">
        <f t="shared" si="18"/>
        <v>331.40507586170941</v>
      </c>
      <c r="R56" s="236">
        <f t="shared" si="23"/>
        <v>70.187538510842089</v>
      </c>
      <c r="S56" s="237">
        <f t="shared" si="24"/>
        <v>13.286731953934517</v>
      </c>
      <c r="T56" s="238">
        <f t="shared" si="19"/>
        <v>-11.358362450107165</v>
      </c>
      <c r="U56" s="239">
        <f t="shared" si="20"/>
        <v>28.594924138290594</v>
      </c>
      <c r="V56" s="240">
        <f t="shared" si="21"/>
        <v>-70.187538510842089</v>
      </c>
      <c r="W56" s="240">
        <f t="shared" si="22"/>
        <v>-13.286731953934517</v>
      </c>
      <c r="X56" s="240"/>
      <c r="Y56" s="299"/>
    </row>
    <row r="57" spans="13:25" hidden="1">
      <c r="M57" s="306">
        <f t="shared" si="15"/>
        <v>35.983455856458995</v>
      </c>
      <c r="N57" s="307">
        <f t="shared" si="5"/>
        <v>35.983455856458995</v>
      </c>
      <c r="O57" s="308">
        <f t="shared" si="16"/>
        <v>0.62802978094124551</v>
      </c>
      <c r="P57" s="235">
        <f t="shared" si="17"/>
        <v>371.596770860905</v>
      </c>
      <c r="Q57" s="236">
        <f t="shared" si="18"/>
        <v>331.16666745091158</v>
      </c>
      <c r="R57" s="236">
        <f t="shared" si="23"/>
        <v>70.32981690421478</v>
      </c>
      <c r="S57" s="237">
        <f t="shared" si="24"/>
        <v>13.14445356056183</v>
      </c>
      <c r="T57" s="238">
        <f t="shared" si="19"/>
        <v>-11.596770860904996</v>
      </c>
      <c r="U57" s="239">
        <f t="shared" si="20"/>
        <v>28.833332549088425</v>
      </c>
      <c r="V57" s="240">
        <f t="shared" si="21"/>
        <v>-70.32981690421478</v>
      </c>
      <c r="W57" s="240">
        <f t="shared" si="22"/>
        <v>-13.14445356056183</v>
      </c>
      <c r="X57" s="240"/>
      <c r="Y57" s="299"/>
    </row>
    <row r="58" spans="13:25" hidden="1">
      <c r="M58" s="306">
        <f t="shared" si="15"/>
        <v>35.668430518717656</v>
      </c>
      <c r="N58" s="307">
        <f t="shared" si="5"/>
        <v>35.668430518717656</v>
      </c>
      <c r="O58" s="308">
        <f t="shared" si="16"/>
        <v>0.62253155157045204</v>
      </c>
      <c r="P58" s="235">
        <f t="shared" si="17"/>
        <v>371.82448902290173</v>
      </c>
      <c r="Q58" s="236">
        <f t="shared" si="18"/>
        <v>330.93894928891484</v>
      </c>
      <c r="R58" s="236">
        <f t="shared" si="23"/>
        <v>70.466064671587759</v>
      </c>
      <c r="S58" s="237">
        <f t="shared" si="24"/>
        <v>13.008205793188845</v>
      </c>
      <c r="T58" s="238">
        <f t="shared" si="19"/>
        <v>-11.82448902290173</v>
      </c>
      <c r="U58" s="239">
        <f t="shared" si="20"/>
        <v>29.061050711085159</v>
      </c>
      <c r="V58" s="240">
        <f t="shared" si="21"/>
        <v>-70.466064671587759</v>
      </c>
      <c r="W58" s="240">
        <f t="shared" si="22"/>
        <v>-13.008205793188845</v>
      </c>
      <c r="X58" s="240"/>
      <c r="Y58" s="299"/>
    </row>
    <row r="59" spans="13:25" hidden="1">
      <c r="M59" s="306">
        <f t="shared" si="15"/>
        <v>35.353405180976317</v>
      </c>
      <c r="N59" s="307">
        <f t="shared" si="5"/>
        <v>35.353405180976317</v>
      </c>
      <c r="O59" s="308">
        <f t="shared" si="16"/>
        <v>0.61703332219965845</v>
      </c>
      <c r="P59" s="235">
        <f t="shared" si="17"/>
        <v>372.04196680042838</v>
      </c>
      <c r="Q59" s="236">
        <f t="shared" si="18"/>
        <v>330.72147151138819</v>
      </c>
      <c r="R59" s="236">
        <f t="shared" si="23"/>
        <v>70.596432423463767</v>
      </c>
      <c r="S59" s="237">
        <f t="shared" si="24"/>
        <v>12.877838041312836</v>
      </c>
      <c r="T59" s="238">
        <f t="shared" si="19"/>
        <v>-12.041966800428384</v>
      </c>
      <c r="U59" s="239">
        <f t="shared" si="20"/>
        <v>29.278528488611812</v>
      </c>
      <c r="V59" s="240">
        <f t="shared" si="21"/>
        <v>-70.596432423463767</v>
      </c>
      <c r="W59" s="240">
        <f t="shared" si="22"/>
        <v>-12.877838041312836</v>
      </c>
      <c r="X59" s="240"/>
      <c r="Y59" s="299"/>
    </row>
    <row r="60" spans="13:25" hidden="1">
      <c r="M60" s="306">
        <f t="shared" si="15"/>
        <v>35.038379843234978</v>
      </c>
      <c r="N60" s="307">
        <f t="shared" si="5"/>
        <v>35.038379843234978</v>
      </c>
      <c r="O60" s="308">
        <f t="shared" si="16"/>
        <v>0.61153509282886498</v>
      </c>
      <c r="P60" s="235">
        <f t="shared" si="17"/>
        <v>372.2496175565829</v>
      </c>
      <c r="Q60" s="236">
        <f t="shared" si="18"/>
        <v>330.51382075523367</v>
      </c>
      <c r="R60" s="236">
        <f t="shared" si="23"/>
        <v>70.721062893470531</v>
      </c>
      <c r="S60" s="237">
        <f t="shared" si="24"/>
        <v>12.753207571306071</v>
      </c>
      <c r="T60" s="238">
        <f t="shared" si="19"/>
        <v>-12.249617556582905</v>
      </c>
      <c r="U60" s="239">
        <f t="shared" si="20"/>
        <v>29.486179244766333</v>
      </c>
      <c r="V60" s="240">
        <f t="shared" si="21"/>
        <v>-70.721062893470531</v>
      </c>
      <c r="W60" s="240">
        <f t="shared" si="22"/>
        <v>-12.753207571306071</v>
      </c>
      <c r="X60" s="240"/>
      <c r="Y60" s="299"/>
    </row>
    <row r="61" spans="13:25" hidden="1">
      <c r="M61" s="306">
        <f t="shared" si="15"/>
        <v>34.723354505493639</v>
      </c>
      <c r="N61" s="307">
        <f t="shared" si="5"/>
        <v>34.723354505493639</v>
      </c>
      <c r="O61" s="308">
        <f t="shared" si="16"/>
        <v>0.6060368634580714</v>
      </c>
      <c r="P61" s="235">
        <f t="shared" si="17"/>
        <v>372.44782206364846</v>
      </c>
      <c r="Q61" s="236">
        <f t="shared" si="18"/>
        <v>330.31561624816806</v>
      </c>
      <c r="R61" s="236">
        <f t="shared" si="23"/>
        <v>70.840091437217723</v>
      </c>
      <c r="S61" s="237">
        <f t="shared" si="24"/>
        <v>12.634179027558885</v>
      </c>
      <c r="T61" s="238">
        <f t="shared" si="19"/>
        <v>-12.447822063648459</v>
      </c>
      <c r="U61" s="239">
        <f t="shared" si="20"/>
        <v>29.684383751831945</v>
      </c>
      <c r="V61" s="240">
        <f t="shared" si="21"/>
        <v>-70.840091437217723</v>
      </c>
      <c r="W61" s="240">
        <f t="shared" si="22"/>
        <v>-12.634179027558885</v>
      </c>
      <c r="X61" s="240"/>
      <c r="Y61" s="299"/>
    </row>
    <row r="62" spans="13:25" hidden="1">
      <c r="M62" s="306">
        <f t="shared" si="15"/>
        <v>34.408329167752299</v>
      </c>
      <c r="N62" s="307">
        <f t="shared" si="5"/>
        <v>34.408329167752299</v>
      </c>
      <c r="O62" s="308">
        <f t="shared" si="16"/>
        <v>0.60053863408727792</v>
      </c>
      <c r="P62" s="235">
        <f t="shared" si="17"/>
        <v>372.63693187602689</v>
      </c>
      <c r="Q62" s="236">
        <f t="shared" si="18"/>
        <v>330.12650643578968</v>
      </c>
      <c r="R62" s="236">
        <f t="shared" si="23"/>
        <v>70.953646488525507</v>
      </c>
      <c r="S62" s="237">
        <f t="shared" si="24"/>
        <v>12.5206239762511</v>
      </c>
      <c r="T62" s="238">
        <f t="shared" si="19"/>
        <v>-12.636931876026892</v>
      </c>
      <c r="U62" s="239">
        <f t="shared" si="20"/>
        <v>29.873493564210321</v>
      </c>
      <c r="V62" s="240">
        <f t="shared" si="21"/>
        <v>-70.953646488525507</v>
      </c>
      <c r="W62" s="240">
        <f t="shared" si="22"/>
        <v>-12.5206239762511</v>
      </c>
      <c r="X62" s="240"/>
      <c r="Y62" s="299"/>
    </row>
    <row r="63" spans="13:25" hidden="1">
      <c r="M63" s="306">
        <f t="shared" si="15"/>
        <v>34.09330383001096</v>
      </c>
      <c r="N63" s="307">
        <f t="shared" si="5"/>
        <v>34.09330383001096</v>
      </c>
      <c r="O63" s="308">
        <f t="shared" si="16"/>
        <v>0.59504040471648445</v>
      </c>
      <c r="P63" s="235">
        <f t="shared" si="17"/>
        <v>372.81727225352364</v>
      </c>
      <c r="Q63" s="236">
        <f t="shared" si="18"/>
        <v>329.94616605829287</v>
      </c>
      <c r="R63" s="236">
        <f t="shared" si="23"/>
        <v>71.061849977348899</v>
      </c>
      <c r="S63" s="237">
        <f t="shared" si="24"/>
        <v>12.412420487427708</v>
      </c>
      <c r="T63" s="238">
        <f t="shared" si="19"/>
        <v>-12.81727225352364</v>
      </c>
      <c r="U63" s="239">
        <f t="shared" si="20"/>
        <v>30.053833941707126</v>
      </c>
      <c r="V63" s="240">
        <f t="shared" si="21"/>
        <v>-71.061849977348899</v>
      </c>
      <c r="W63" s="240">
        <f t="shared" si="22"/>
        <v>-12.412420487427708</v>
      </c>
      <c r="X63" s="240"/>
      <c r="Y63" s="299"/>
    </row>
    <row r="64" spans="13:25" hidden="1">
      <c r="M64" s="306">
        <f t="shared" si="15"/>
        <v>33.778278492269621</v>
      </c>
      <c r="N64" s="307">
        <f t="shared" si="5"/>
        <v>33.778278492269621</v>
      </c>
      <c r="O64" s="308">
        <f t="shared" si="16"/>
        <v>0.58954217534569087</v>
      </c>
      <c r="P64" s="235">
        <f t="shared" si="17"/>
        <v>372.98914470626636</v>
      </c>
      <c r="Q64" s="236">
        <f t="shared" si="18"/>
        <v>329.77429360555016</v>
      </c>
      <c r="R64" s="236">
        <f t="shared" si="23"/>
        <v>71.164817713204755</v>
      </c>
      <c r="S64" s="237">
        <f t="shared" si="24"/>
        <v>12.309452751571845</v>
      </c>
      <c r="T64" s="238">
        <f t="shared" si="19"/>
        <v>-12.989144706266359</v>
      </c>
      <c r="U64" s="239">
        <f t="shared" si="20"/>
        <v>30.225706394449844</v>
      </c>
      <c r="V64" s="240">
        <f t="shared" si="21"/>
        <v>-71.164817713204755</v>
      </c>
      <c r="W64" s="240">
        <f t="shared" si="22"/>
        <v>-12.309452751571845</v>
      </c>
      <c r="X64" s="240"/>
      <c r="Y64" s="299"/>
    </row>
    <row r="65" spans="13:25" hidden="1">
      <c r="M65" s="306">
        <f t="shared" si="15"/>
        <v>33.463253154528282</v>
      </c>
      <c r="N65" s="307">
        <f t="shared" si="5"/>
        <v>33.463253154528282</v>
      </c>
      <c r="O65" s="308">
        <f t="shared" si="16"/>
        <v>0.58404394597489739</v>
      </c>
      <c r="P65" s="235">
        <f t="shared" si="17"/>
        <v>373.15282921948727</v>
      </c>
      <c r="Q65" s="236">
        <f t="shared" si="18"/>
        <v>329.61060909232924</v>
      </c>
      <c r="R65" s="236">
        <f t="shared" si="23"/>
        <v>71.262659737461149</v>
      </c>
      <c r="S65" s="237">
        <f t="shared" si="24"/>
        <v>12.211610727315461</v>
      </c>
      <c r="T65" s="238">
        <f t="shared" si="19"/>
        <v>-13.152829219487273</v>
      </c>
      <c r="U65" s="239">
        <f t="shared" si="20"/>
        <v>30.389390907670759</v>
      </c>
      <c r="V65" s="240">
        <f t="shared" si="21"/>
        <v>-71.262659737461149</v>
      </c>
      <c r="W65" s="240">
        <f t="shared" si="22"/>
        <v>-12.211610727315461</v>
      </c>
      <c r="X65" s="240"/>
      <c r="Y65" s="299"/>
    </row>
    <row r="66" spans="13:25" hidden="1">
      <c r="M66" s="306">
        <f t="shared" si="15"/>
        <v>33.148227816786942</v>
      </c>
      <c r="N66" s="307">
        <f t="shared" si="5"/>
        <v>33.148227816786942</v>
      </c>
      <c r="O66" s="308">
        <f t="shared" si="16"/>
        <v>0.57854571660410381</v>
      </c>
      <c r="P66" s="235">
        <f t="shared" si="17"/>
        <v>373.30858620603919</v>
      </c>
      <c r="Q66" s="236">
        <f t="shared" si="18"/>
        <v>329.45485210577738</v>
      </c>
      <c r="R66" s="236">
        <f t="shared" si="23"/>
        <v>71.3554806474625</v>
      </c>
      <c r="S66" s="237">
        <f t="shared" si="24"/>
        <v>12.1187898173141</v>
      </c>
      <c r="T66" s="238">
        <f t="shared" si="19"/>
        <v>-13.308586206039195</v>
      </c>
      <c r="U66" s="239">
        <f t="shared" si="20"/>
        <v>30.545147894222623</v>
      </c>
      <c r="V66" s="240">
        <f t="shared" si="21"/>
        <v>-71.3554806474625</v>
      </c>
      <c r="W66" s="240">
        <f t="shared" si="22"/>
        <v>-12.1187898173141</v>
      </c>
      <c r="X66" s="240"/>
      <c r="Y66" s="299"/>
    </row>
    <row r="67" spans="13:25" hidden="1">
      <c r="M67" s="306">
        <f t="shared" si="15"/>
        <v>32.833202479045603</v>
      </c>
      <c r="N67" s="307">
        <f t="shared" si="5"/>
        <v>32.833202479045603</v>
      </c>
      <c r="O67" s="308">
        <f t="shared" si="16"/>
        <v>0.57304748723331034</v>
      </c>
      <c r="P67" s="235">
        <f t="shared" si="17"/>
        <v>373.45665822622277</v>
      </c>
      <c r="Q67" s="236">
        <f t="shared" si="18"/>
        <v>329.3067800855938</v>
      </c>
      <c r="R67" s="236">
        <f t="shared" si="23"/>
        <v>71.443379895125602</v>
      </c>
      <c r="S67" s="237">
        <f t="shared" si="24"/>
        <v>12.030890569651005</v>
      </c>
      <c r="T67" s="238">
        <f t="shared" si="19"/>
        <v>-13.456658226222771</v>
      </c>
      <c r="U67" s="239">
        <f t="shared" si="20"/>
        <v>30.6932199144062</v>
      </c>
      <c r="V67" s="240">
        <f t="shared" si="21"/>
        <v>-71.443379895125602</v>
      </c>
      <c r="W67" s="240">
        <f t="shared" si="22"/>
        <v>-12.030890569651005</v>
      </c>
      <c r="X67" s="240"/>
      <c r="Y67" s="299"/>
    </row>
    <row r="68" spans="13:25" hidden="1">
      <c r="M68" s="306">
        <f t="shared" si="15"/>
        <v>32.518177141304264</v>
      </c>
      <c r="N68" s="307">
        <f t="shared" si="5"/>
        <v>32.518177141304264</v>
      </c>
      <c r="O68" s="308">
        <f t="shared" si="16"/>
        <v>0.56754925786251675</v>
      </c>
      <c r="P68" s="235">
        <f t="shared" si="17"/>
        <v>373.59727150782805</v>
      </c>
      <c r="Q68" s="236">
        <f t="shared" si="18"/>
        <v>329.16616680398846</v>
      </c>
      <c r="R68" s="236">
        <f t="shared" si="23"/>
        <v>71.526452062348909</v>
      </c>
      <c r="S68" s="237">
        <f t="shared" si="24"/>
        <v>11.947818402427702</v>
      </c>
      <c r="T68" s="238">
        <f t="shared" si="19"/>
        <v>-13.597271507828054</v>
      </c>
      <c r="U68" s="239">
        <f t="shared" si="20"/>
        <v>30.83383319601154</v>
      </c>
      <c r="V68" s="240">
        <f t="shared" si="21"/>
        <v>-71.526452062348909</v>
      </c>
      <c r="W68" s="240">
        <f t="shared" si="22"/>
        <v>-11.947818402427702</v>
      </c>
      <c r="X68" s="240"/>
      <c r="Y68" s="299"/>
    </row>
    <row r="69" spans="13:25" hidden="1">
      <c r="M69" s="306">
        <f t="shared" si="15"/>
        <v>32.203151803562925</v>
      </c>
      <c r="N69" s="307">
        <f t="shared" si="5"/>
        <v>32.203151803562925</v>
      </c>
      <c r="O69" s="308">
        <f t="shared" si="16"/>
        <v>0.56205102849172328</v>
      </c>
      <c r="P69" s="235">
        <f t="shared" si="17"/>
        <v>373.73063729388866</v>
      </c>
      <c r="Q69" s="236">
        <f t="shared" si="18"/>
        <v>329.03280101792791</v>
      </c>
      <c r="R69" s="236">
        <f t="shared" si="23"/>
        <v>71.604787115320477</v>
      </c>
      <c r="S69" s="237">
        <f t="shared" si="24"/>
        <v>11.869483349456134</v>
      </c>
      <c r="T69" s="238">
        <f t="shared" si="19"/>
        <v>-13.730637293888662</v>
      </c>
      <c r="U69" s="239">
        <f t="shared" si="20"/>
        <v>30.967198982072091</v>
      </c>
      <c r="V69" s="240">
        <f t="shared" si="21"/>
        <v>-71.604787115320477</v>
      </c>
      <c r="W69" s="240">
        <f t="shared" si="22"/>
        <v>-11.869483349456134</v>
      </c>
      <c r="X69" s="240"/>
      <c r="Y69" s="299"/>
    </row>
    <row r="70" spans="13:25" hidden="1">
      <c r="M70" s="306">
        <f t="shared" si="15"/>
        <v>31.888126465821589</v>
      </c>
      <c r="N70" s="307">
        <f t="shared" si="5"/>
        <v>31.888126465821589</v>
      </c>
      <c r="O70" s="308">
        <f t="shared" si="16"/>
        <v>0.55655279912092981</v>
      </c>
      <c r="P70" s="235">
        <f t="shared" si="17"/>
        <v>373.85695304123766</v>
      </c>
      <c r="Q70" s="236">
        <f t="shared" si="18"/>
        <v>328.90648527057886</v>
      </c>
      <c r="R70" s="236">
        <f t="shared" si="23"/>
        <v>71.67847063958493</v>
      </c>
      <c r="S70" s="237">
        <f t="shared" si="24"/>
        <v>11.795799825191676</v>
      </c>
      <c r="T70" s="238">
        <f t="shared" si="19"/>
        <v>-13.856953041237659</v>
      </c>
      <c r="U70" s="239">
        <f t="shared" si="20"/>
        <v>31.093514729421145</v>
      </c>
      <c r="V70" s="240">
        <f t="shared" si="21"/>
        <v>-71.67847063958493</v>
      </c>
      <c r="W70" s="240">
        <f t="shared" si="22"/>
        <v>-11.795799825191676</v>
      </c>
      <c r="X70" s="240"/>
      <c r="Y70" s="299"/>
    </row>
    <row r="71" spans="13:25" hidden="1">
      <c r="M71" s="306">
        <f t="shared" si="15"/>
        <v>31.573101128080253</v>
      </c>
      <c r="N71" s="307">
        <f t="shared" si="5"/>
        <v>31.573101128080253</v>
      </c>
      <c r="O71" s="308">
        <f t="shared" si="16"/>
        <v>0.55105456975013634</v>
      </c>
      <c r="P71" s="235">
        <f t="shared" si="17"/>
        <v>373.97640348934652</v>
      </c>
      <c r="Q71" s="236">
        <f t="shared" si="18"/>
        <v>328.78703482247005</v>
      </c>
      <c r="R71" s="236">
        <f t="shared" si="23"/>
        <v>71.747584057532222</v>
      </c>
      <c r="S71" s="237">
        <f t="shared" si="24"/>
        <v>11.726686407244388</v>
      </c>
      <c r="T71" s="238">
        <f t="shared" si="19"/>
        <v>-13.976403489346524</v>
      </c>
      <c r="U71" s="239">
        <f t="shared" si="20"/>
        <v>31.212965177529952</v>
      </c>
      <c r="V71" s="240">
        <f t="shared" si="21"/>
        <v>-71.747584057532222</v>
      </c>
      <c r="W71" s="240">
        <f t="shared" si="22"/>
        <v>-11.726686407244388</v>
      </c>
      <c r="X71" s="240"/>
      <c r="Y71" s="299"/>
    </row>
    <row r="72" spans="13:25" hidden="1">
      <c r="M72" s="306">
        <f t="shared" si="15"/>
        <v>31.258075790338918</v>
      </c>
      <c r="N72" s="307">
        <f t="shared" ref="N72:N135" si="25">N71-step</f>
        <v>31.258075790338918</v>
      </c>
      <c r="O72" s="308">
        <f t="shared" si="16"/>
        <v>0.54555634037934286</v>
      </c>
      <c r="P72" s="235">
        <f t="shared" si="17"/>
        <v>374.08916161594971</v>
      </c>
      <c r="Q72" s="236">
        <f t="shared" si="18"/>
        <v>328.67427669586687</v>
      </c>
      <c r="R72" s="236">
        <f t="shared" ref="R72:R103" si="26">IFERROR(DEGREES(grt_+ACOS((SIN(h_)-SIN(d_)*SIN(O72))/COS(d_)/COS(O72))),#N/A)</f>
        <v>71.812204829797082</v>
      </c>
      <c r="S72" s="237">
        <f t="shared" ref="S72:S103" si="27">IFERROR(DEGREES(grt_-ACOS((SIN(h_)-SIN(d_)*SIN(O72))/COS(d_)/COS(O72))),#N/A)</f>
        <v>11.662065634979522</v>
      </c>
      <c r="T72" s="238">
        <f t="shared" si="19"/>
        <v>-14.089161615949706</v>
      </c>
      <c r="U72" s="239">
        <f t="shared" si="20"/>
        <v>31.325723304133135</v>
      </c>
      <c r="V72" s="240">
        <f t="shared" si="21"/>
        <v>-71.812204829797082</v>
      </c>
      <c r="W72" s="240">
        <f t="shared" si="22"/>
        <v>-11.662065634979522</v>
      </c>
      <c r="X72" s="240"/>
      <c r="Y72" s="299"/>
    </row>
    <row r="73" spans="13:25" hidden="1">
      <c r="M73" s="306">
        <f t="shared" si="15"/>
        <v>30.943050452597582</v>
      </c>
      <c r="N73" s="307">
        <f t="shared" si="25"/>
        <v>30.943050452597582</v>
      </c>
      <c r="O73" s="308">
        <f t="shared" si="16"/>
        <v>0.54005811100854939</v>
      </c>
      <c r="P73" s="235">
        <f t="shared" si="17"/>
        <v>374.19538949349942</v>
      </c>
      <c r="Q73" s="236">
        <f t="shared" si="18"/>
        <v>328.5680488183171</v>
      </c>
      <c r="R73" s="236">
        <f t="shared" si="26"/>
        <v>71.872406641904504</v>
      </c>
      <c r="S73" s="237">
        <f t="shared" si="27"/>
        <v>11.601863822872106</v>
      </c>
      <c r="T73" s="238">
        <f t="shared" si="19"/>
        <v>-14.19538949349942</v>
      </c>
      <c r="U73" s="239">
        <f t="shared" si="20"/>
        <v>31.431951181682905</v>
      </c>
      <c r="V73" s="240">
        <f t="shared" si="21"/>
        <v>-71.872406641904504</v>
      </c>
      <c r="W73" s="240">
        <f t="shared" si="22"/>
        <v>-11.601863822872106</v>
      </c>
      <c r="X73" s="240"/>
      <c r="Y73" s="299"/>
    </row>
    <row r="74" spans="13:25" hidden="1">
      <c r="M74" s="306">
        <f t="shared" si="15"/>
        <v>30.628025114856246</v>
      </c>
      <c r="N74" s="307">
        <f t="shared" si="25"/>
        <v>30.628025114856246</v>
      </c>
      <c r="O74" s="308">
        <f t="shared" si="16"/>
        <v>0.53455988163775592</v>
      </c>
      <c r="P74" s="235">
        <f t="shared" si="17"/>
        <v>374.29523905844047</v>
      </c>
      <c r="Q74" s="236">
        <f t="shared" si="18"/>
        <v>328.46819925337604</v>
      </c>
      <c r="R74" s="236">
        <f t="shared" si="26"/>
        <v>71.928259577360109</v>
      </c>
      <c r="S74" s="237">
        <f t="shared" si="27"/>
        <v>11.546010887416504</v>
      </c>
      <c r="T74" s="238">
        <f t="shared" si="19"/>
        <v>-14.295239058440472</v>
      </c>
      <c r="U74" s="239">
        <f t="shared" si="20"/>
        <v>31.531800746623958</v>
      </c>
      <c r="V74" s="240">
        <f t="shared" si="21"/>
        <v>-71.928259577360109</v>
      </c>
      <c r="W74" s="240">
        <f t="shared" si="22"/>
        <v>-11.546010887416504</v>
      </c>
      <c r="X74" s="240"/>
      <c r="Y74" s="299"/>
    </row>
    <row r="75" spans="13:25" hidden="1">
      <c r="M75" s="306">
        <f t="shared" si="15"/>
        <v>30.312999777114911</v>
      </c>
      <c r="N75" s="307">
        <f t="shared" si="25"/>
        <v>30.312999777114911</v>
      </c>
      <c r="O75" s="308">
        <f t="shared" si="16"/>
        <v>0.52906165226696245</v>
      </c>
      <c r="P75" s="235">
        <f t="shared" si="17"/>
        <v>374.38885280358568</v>
      </c>
      <c r="Q75" s="236">
        <f t="shared" si="18"/>
        <v>328.37458550823089</v>
      </c>
      <c r="R75" s="236">
        <f t="shared" si="26"/>
        <v>71.979830278265098</v>
      </c>
      <c r="S75" s="237">
        <f t="shared" si="27"/>
        <v>11.494440186511515</v>
      </c>
      <c r="T75" s="238">
        <f t="shared" si="19"/>
        <v>-14.388852803585678</v>
      </c>
      <c r="U75" s="239">
        <f t="shared" si="20"/>
        <v>31.625414491769106</v>
      </c>
      <c r="V75" s="240">
        <f t="shared" si="21"/>
        <v>-71.979830278265098</v>
      </c>
      <c r="W75" s="240">
        <f t="shared" si="22"/>
        <v>-11.494440186511515</v>
      </c>
      <c r="X75" s="240"/>
      <c r="Y75" s="299"/>
    </row>
    <row r="76" spans="13:25" hidden="1">
      <c r="M76" s="306">
        <f t="shared" si="15"/>
        <v>29.997974439373575</v>
      </c>
      <c r="N76" s="307">
        <f t="shared" si="25"/>
        <v>29.997974439373575</v>
      </c>
      <c r="O76" s="308">
        <f t="shared" si="16"/>
        <v>0.52356342289616897</v>
      </c>
      <c r="P76" s="235">
        <f t="shared" si="17"/>
        <v>374.476364402434</v>
      </c>
      <c r="Q76" s="236">
        <f t="shared" si="18"/>
        <v>328.28707390938257</v>
      </c>
      <c r="R76" s="236">
        <f t="shared" si="26"/>
        <v>72.027182094426735</v>
      </c>
      <c r="S76" s="237">
        <f t="shared" si="27"/>
        <v>11.447088370349869</v>
      </c>
      <c r="T76" s="238">
        <f t="shared" si="19"/>
        <v>-14.476364402434001</v>
      </c>
      <c r="U76" s="239">
        <f t="shared" si="20"/>
        <v>31.71292609061743</v>
      </c>
      <c r="V76" s="240">
        <f t="shared" si="21"/>
        <v>-72.027182094426735</v>
      </c>
      <c r="W76" s="240">
        <f t="shared" si="22"/>
        <v>-11.447088370349869</v>
      </c>
      <c r="X76" s="240"/>
      <c r="Y76" s="299"/>
    </row>
    <row r="77" spans="13:25" hidden="1">
      <c r="M77" s="306">
        <f t="shared" si="15"/>
        <v>29.682949101632239</v>
      </c>
      <c r="N77" s="307">
        <f t="shared" si="25"/>
        <v>29.682949101632239</v>
      </c>
      <c r="O77" s="308">
        <f t="shared" si="16"/>
        <v>0.5180651935253755</v>
      </c>
      <c r="P77" s="235">
        <f t="shared" si="17"/>
        <v>374.55789927305989</v>
      </c>
      <c r="Q77" s="236">
        <f t="shared" si="18"/>
        <v>328.20553903875663</v>
      </c>
      <c r="R77" s="236">
        <f t="shared" si="26"/>
        <v>72.07037522184153</v>
      </c>
      <c r="S77" s="237">
        <f t="shared" si="27"/>
        <v>11.403895242935077</v>
      </c>
      <c r="T77" s="238">
        <f t="shared" si="19"/>
        <v>-14.557899273059888</v>
      </c>
      <c r="U77" s="239">
        <f t="shared" si="20"/>
        <v>31.794460961243374</v>
      </c>
      <c r="V77" s="240">
        <f t="shared" si="21"/>
        <v>-72.07037522184153</v>
      </c>
      <c r="W77" s="240">
        <f t="shared" si="22"/>
        <v>-11.403895242935077</v>
      </c>
      <c r="X77" s="240"/>
      <c r="Y77" s="299"/>
    </row>
    <row r="78" spans="13:25" hidden="1">
      <c r="M78" s="306">
        <f t="shared" si="15"/>
        <v>29.367923763890904</v>
      </c>
      <c r="N78" s="307">
        <f t="shared" si="25"/>
        <v>29.367923763890904</v>
      </c>
      <c r="O78" s="308">
        <f t="shared" si="16"/>
        <v>0.51256696415458203</v>
      </c>
      <c r="P78" s="235">
        <f t="shared" si="17"/>
        <v>374.63357508817745</v>
      </c>
      <c r="Q78" s="236">
        <f t="shared" si="18"/>
        <v>328.12986322363906</v>
      </c>
      <c r="R78" s="236">
        <f t="shared" si="26"/>
        <v>72.109466831341891</v>
      </c>
      <c r="S78" s="237">
        <f t="shared" si="27"/>
        <v>11.364803633434718</v>
      </c>
      <c r="T78" s="238">
        <f t="shared" si="19"/>
        <v>-14.633575088177452</v>
      </c>
      <c r="U78" s="239">
        <f t="shared" si="20"/>
        <v>31.870136776360937</v>
      </c>
      <c r="V78" s="240">
        <f t="shared" si="21"/>
        <v>-72.109466831341891</v>
      </c>
      <c r="W78" s="240">
        <f t="shared" si="22"/>
        <v>-11.364803633434718</v>
      </c>
      <c r="X78" s="240"/>
      <c r="Y78" s="299"/>
    </row>
    <row r="79" spans="13:25" hidden="1">
      <c r="M79" s="306">
        <f t="shared" si="15"/>
        <v>29.052898426149568</v>
      </c>
      <c r="N79" s="307">
        <f t="shared" si="25"/>
        <v>29.052898426149568</v>
      </c>
      <c r="O79" s="308">
        <f t="shared" si="16"/>
        <v>0.50706873478378856</v>
      </c>
      <c r="P79" s="235">
        <f t="shared" si="17"/>
        <v>374.70350223711057</v>
      </c>
      <c r="Q79" s="236">
        <f t="shared" si="18"/>
        <v>328.059936074706</v>
      </c>
      <c r="R79" s="236">
        <f t="shared" si="26"/>
        <v>72.144511188122351</v>
      </c>
      <c r="S79" s="237">
        <f t="shared" si="27"/>
        <v>11.32975927665426</v>
      </c>
      <c r="T79" s="238">
        <f t="shared" si="19"/>
        <v>-14.70350223711057</v>
      </c>
      <c r="U79" s="239">
        <f t="shared" si="20"/>
        <v>31.940063925293998</v>
      </c>
      <c r="V79" s="240">
        <f t="shared" si="21"/>
        <v>-72.144511188122351</v>
      </c>
      <c r="W79" s="240">
        <f t="shared" si="22"/>
        <v>-11.32975927665426</v>
      </c>
      <c r="X79" s="240"/>
      <c r="Y79" s="299"/>
    </row>
    <row r="80" spans="13:25" hidden="1">
      <c r="M80" s="306">
        <f t="shared" si="15"/>
        <v>28.737873088408232</v>
      </c>
      <c r="N80" s="307">
        <f t="shared" si="25"/>
        <v>28.737873088408232</v>
      </c>
      <c r="O80" s="308">
        <f t="shared" si="16"/>
        <v>0.50157050541299508</v>
      </c>
      <c r="P80" s="235">
        <f t="shared" si="17"/>
        <v>374.76778424465573</v>
      </c>
      <c r="Q80" s="236">
        <f t="shared" si="18"/>
        <v>327.99565406716084</v>
      </c>
      <c r="R80" s="236">
        <f t="shared" si="26"/>
        <v>72.175559762791252</v>
      </c>
      <c r="S80" s="237">
        <f t="shared" si="27"/>
        <v>11.298710701985348</v>
      </c>
      <c r="T80" s="238">
        <f t="shared" si="19"/>
        <v>-14.767784244655729</v>
      </c>
      <c r="U80" s="239">
        <f t="shared" si="20"/>
        <v>32.004345932839158</v>
      </c>
      <c r="V80" s="240">
        <f t="shared" si="21"/>
        <v>-72.175559762791252</v>
      </c>
      <c r="W80" s="240">
        <f t="shared" si="22"/>
        <v>-11.298710701985348</v>
      </c>
      <c r="X80" s="240"/>
      <c r="Y80" s="299"/>
    </row>
    <row r="81" spans="13:25" hidden="1">
      <c r="M81" s="306">
        <f t="shared" si="15"/>
        <v>28.422847750666897</v>
      </c>
      <c r="N81" s="307">
        <f t="shared" si="25"/>
        <v>28.422847750666897</v>
      </c>
      <c r="O81" s="308">
        <f t="shared" si="16"/>
        <v>0.49607227604220167</v>
      </c>
      <c r="P81" s="235">
        <f t="shared" si="17"/>
        <v>374.8265181511884</v>
      </c>
      <c r="Q81" s="236">
        <f t="shared" si="18"/>
        <v>327.93692016062818</v>
      </c>
      <c r="R81" s="236">
        <f t="shared" si="26"/>
        <v>72.202661334534781</v>
      </c>
      <c r="S81" s="237">
        <f t="shared" si="27"/>
        <v>11.271609130241819</v>
      </c>
      <c r="T81" s="238">
        <f t="shared" si="19"/>
        <v>-14.826518151188395</v>
      </c>
      <c r="U81" s="239">
        <f t="shared" si="20"/>
        <v>32.063079839371824</v>
      </c>
      <c r="V81" s="240">
        <f t="shared" si="21"/>
        <v>-72.202661334534781</v>
      </c>
      <c r="W81" s="240">
        <f t="shared" si="22"/>
        <v>-11.271609130241819</v>
      </c>
      <c r="X81" s="240"/>
      <c r="Y81" s="299"/>
    </row>
    <row r="82" spans="13:25" hidden="1">
      <c r="M82" s="306">
        <f t="shared" si="15"/>
        <v>28.107822412925561</v>
      </c>
      <c r="N82" s="307">
        <f t="shared" si="25"/>
        <v>28.107822412925561</v>
      </c>
      <c r="O82" s="308">
        <f t="shared" si="16"/>
        <v>0.49057404667140819</v>
      </c>
      <c r="P82" s="235">
        <f t="shared" si="17"/>
        <v>374.87979485781415</v>
      </c>
      <c r="Q82" s="236">
        <f t="shared" si="18"/>
        <v>327.88364345400237</v>
      </c>
      <c r="R82" s="236">
        <f t="shared" si="26"/>
        <v>72.225862086923115</v>
      </c>
      <c r="S82" s="237">
        <f t="shared" si="27"/>
        <v>11.248408377853487</v>
      </c>
      <c r="T82" s="238">
        <f t="shared" si="19"/>
        <v>-14.879794857814147</v>
      </c>
      <c r="U82" s="239">
        <f t="shared" si="20"/>
        <v>32.116356545997633</v>
      </c>
      <c r="V82" s="240">
        <f t="shared" si="21"/>
        <v>-72.225862086923115</v>
      </c>
      <c r="W82" s="240">
        <f t="shared" si="22"/>
        <v>-11.248408377853487</v>
      </c>
      <c r="X82" s="240"/>
      <c r="Y82" s="299"/>
    </row>
    <row r="83" spans="13:25" hidden="1">
      <c r="M83" s="306">
        <f t="shared" si="15"/>
        <v>27.792797075184225</v>
      </c>
      <c r="N83" s="307">
        <f t="shared" si="25"/>
        <v>27.792797075184225</v>
      </c>
      <c r="O83" s="308">
        <f t="shared" si="16"/>
        <v>0.48507581730061472</v>
      </c>
      <c r="P83" s="235">
        <f t="shared" si="17"/>
        <v>374.92769943989646</v>
      </c>
      <c r="Q83" s="236">
        <f t="shared" si="18"/>
        <v>327.83573887192011</v>
      </c>
      <c r="R83" s="236">
        <f t="shared" si="26"/>
        <v>72.245205696839548</v>
      </c>
      <c r="S83" s="237">
        <f t="shared" si="27"/>
        <v>11.229064767937055</v>
      </c>
      <c r="T83" s="238">
        <f t="shared" si="19"/>
        <v>-14.927699439896458</v>
      </c>
      <c r="U83" s="239">
        <f t="shared" si="20"/>
        <v>32.164261128079886</v>
      </c>
      <c r="V83" s="240">
        <f t="shared" si="21"/>
        <v>-72.245205696839548</v>
      </c>
      <c r="W83" s="240">
        <f t="shared" si="22"/>
        <v>-11.229064767937055</v>
      </c>
      <c r="X83" s="240"/>
      <c r="Y83" s="299"/>
    </row>
    <row r="84" spans="13:25" hidden="1">
      <c r="M84" s="306">
        <f t="shared" si="15"/>
        <v>27.47777173744289</v>
      </c>
      <c r="N84" s="307">
        <f t="shared" si="25"/>
        <v>27.47777173744289</v>
      </c>
      <c r="O84" s="308">
        <f t="shared" si="16"/>
        <v>0.47957758792982125</v>
      </c>
      <c r="P84" s="235">
        <f t="shared" si="17"/>
        <v>374.9703114318803</v>
      </c>
      <c r="Q84" s="236">
        <f t="shared" si="18"/>
        <v>327.79312687993627</v>
      </c>
      <c r="R84" s="236">
        <f t="shared" si="26"/>
        <v>72.260733416968449</v>
      </c>
      <c r="S84" s="237">
        <f t="shared" si="27"/>
        <v>11.213537047808158</v>
      </c>
      <c r="T84" s="238">
        <f t="shared" si="19"/>
        <v>-14.970311431880305</v>
      </c>
      <c r="U84" s="239">
        <f t="shared" si="20"/>
        <v>32.206873120063733</v>
      </c>
      <c r="V84" s="240">
        <f t="shared" si="21"/>
        <v>-72.260733416968449</v>
      </c>
      <c r="W84" s="240">
        <f t="shared" si="22"/>
        <v>-11.213537047808158</v>
      </c>
      <c r="X84" s="240"/>
      <c r="Y84" s="299"/>
    </row>
    <row r="85" spans="13:25" hidden="1">
      <c r="M85" s="306">
        <f t="shared" si="15"/>
        <v>27.162746399701554</v>
      </c>
      <c r="N85" s="307">
        <f t="shared" si="25"/>
        <v>27.162746399701554</v>
      </c>
      <c r="O85" s="308">
        <f t="shared" si="16"/>
        <v>0.47407935855902783</v>
      </c>
      <c r="P85" s="235">
        <f t="shared" si="17"/>
        <v>375.00770508597986</v>
      </c>
      <c r="Q85" s="236">
        <f t="shared" si="18"/>
        <v>327.75573322583671</v>
      </c>
      <c r="R85" s="236">
        <f t="shared" si="26"/>
        <v>72.272484152236501</v>
      </c>
      <c r="S85" s="237">
        <f t="shared" si="27"/>
        <v>11.201786312540111</v>
      </c>
      <c r="T85" s="238">
        <f t="shared" si="19"/>
        <v>-15.007705085979865</v>
      </c>
      <c r="U85" s="239">
        <f t="shared" si="20"/>
        <v>32.244266774163293</v>
      </c>
      <c r="V85" s="240">
        <f t="shared" si="21"/>
        <v>-72.272484152236501</v>
      </c>
      <c r="W85" s="240">
        <f t="shared" si="22"/>
        <v>-11.201786312540111</v>
      </c>
      <c r="X85" s="240"/>
      <c r="Y85" s="299"/>
    </row>
    <row r="86" spans="13:25" hidden="1">
      <c r="M86" s="306">
        <f t="shared" si="15"/>
        <v>26.847721061960218</v>
      </c>
      <c r="N86" s="307">
        <f t="shared" si="25"/>
        <v>26.847721061960218</v>
      </c>
      <c r="O86" s="308">
        <f t="shared" si="16"/>
        <v>0.46858112918823436</v>
      </c>
      <c r="P86" s="235">
        <f t="shared" si="17"/>
        <v>375.03994960698418</v>
      </c>
      <c r="Q86" s="236">
        <f t="shared" si="18"/>
        <v>327.72348870483239</v>
      </c>
      <c r="R86" s="236">
        <f t="shared" si="26"/>
        <v>72.280494530564937</v>
      </c>
      <c r="S86" s="237">
        <f t="shared" si="27"/>
        <v>11.193775934211661</v>
      </c>
      <c r="T86" s="238">
        <f t="shared" si="19"/>
        <v>-15.03994960698418</v>
      </c>
      <c r="U86" s="239">
        <f t="shared" si="20"/>
        <v>32.276511295167609</v>
      </c>
      <c r="V86" s="240">
        <f t="shared" si="21"/>
        <v>-72.280494530564937</v>
      </c>
      <c r="W86" s="240">
        <f t="shared" si="22"/>
        <v>-11.193775934211661</v>
      </c>
      <c r="X86" s="240"/>
      <c r="Y86" s="299"/>
    </row>
    <row r="87" spans="13:25" hidden="1">
      <c r="M87" s="306">
        <f t="shared" si="15"/>
        <v>26.532695724218883</v>
      </c>
      <c r="N87" s="307">
        <f t="shared" si="25"/>
        <v>26.532695724218883</v>
      </c>
      <c r="O87" s="308">
        <f t="shared" si="16"/>
        <v>0.46308289981744089</v>
      </c>
      <c r="P87" s="235">
        <f t="shared" si="17"/>
        <v>375.06710936516737</v>
      </c>
      <c r="Q87" s="236">
        <f t="shared" si="18"/>
        <v>327.6963289466492</v>
      </c>
      <c r="R87" s="236">
        <f t="shared" si="26"/>
        <v>72.284798968256553</v>
      </c>
      <c r="S87" s="237">
        <f t="shared" si="27"/>
        <v>11.189471496520055</v>
      </c>
      <c r="T87" s="238">
        <f t="shared" si="19"/>
        <v>-15.067109365167369</v>
      </c>
      <c r="U87" s="239">
        <f t="shared" si="20"/>
        <v>32.303671053350797</v>
      </c>
      <c r="V87" s="240">
        <f t="shared" si="21"/>
        <v>-72.284798968256553</v>
      </c>
      <c r="W87" s="240">
        <f t="shared" si="22"/>
        <v>-11.189471496520055</v>
      </c>
      <c r="X87" s="240"/>
      <c r="Y87" s="299"/>
    </row>
    <row r="88" spans="13:25" hidden="1">
      <c r="M88" s="306">
        <f t="shared" si="15"/>
        <v>26.217670386477547</v>
      </c>
      <c r="N88" s="307">
        <f t="shared" si="25"/>
        <v>26.217670386477547</v>
      </c>
      <c r="O88" s="308">
        <f t="shared" si="16"/>
        <v>0.45758467044664741</v>
      </c>
      <c r="P88" s="235">
        <f t="shared" si="17"/>
        <v>375.08924408904795</v>
      </c>
      <c r="Q88" s="236">
        <f t="shared" si="18"/>
        <v>327.67419422276862</v>
      </c>
      <c r="R88" s="236">
        <f t="shared" si="26"/>
        <v>72.285429730309644</v>
      </c>
      <c r="S88" s="237">
        <f t="shared" si="27"/>
        <v>11.188840734466966</v>
      </c>
      <c r="T88" s="238">
        <f t="shared" si="19"/>
        <v>-15.089244089047952</v>
      </c>
      <c r="U88" s="239">
        <f t="shared" si="20"/>
        <v>32.32580577723138</v>
      </c>
      <c r="V88" s="240">
        <f t="shared" si="21"/>
        <v>-72.285429730309644</v>
      </c>
      <c r="W88" s="240">
        <f t="shared" si="22"/>
        <v>-11.188840734466966</v>
      </c>
      <c r="X88" s="240"/>
      <c r="Y88" s="299"/>
    </row>
    <row r="89" spans="13:25" hidden="1">
      <c r="M89" s="306">
        <f t="shared" si="15"/>
        <v>25.902645048736211</v>
      </c>
      <c r="N89" s="307">
        <f t="shared" si="25"/>
        <v>25.902645048736211</v>
      </c>
      <c r="O89" s="308">
        <f t="shared" si="16"/>
        <v>0.45208644107585394</v>
      </c>
      <c r="P89" s="235">
        <f t="shared" si="17"/>
        <v>375.10640903953487</v>
      </c>
      <c r="Q89" s="236">
        <f t="shared" si="18"/>
        <v>327.6570292722817</v>
      </c>
      <c r="R89" s="236">
        <f t="shared" si="26"/>
        <v>72.282416985923987</v>
      </c>
      <c r="S89" s="237">
        <f t="shared" si="27"/>
        <v>11.191853478852623</v>
      </c>
      <c r="T89" s="238">
        <f t="shared" si="19"/>
        <v>-15.106409039534867</v>
      </c>
      <c r="U89" s="239">
        <f t="shared" si="20"/>
        <v>32.342970727718296</v>
      </c>
      <c r="V89" s="240">
        <f t="shared" si="21"/>
        <v>-72.282416985923987</v>
      </c>
      <c r="W89" s="240">
        <f t="shared" si="22"/>
        <v>-11.191853478852623</v>
      </c>
      <c r="X89" s="240"/>
      <c r="Y89" s="299"/>
    </row>
    <row r="90" spans="13:25" hidden="1">
      <c r="M90" s="306">
        <f t="shared" si="15"/>
        <v>25.587619710994876</v>
      </c>
      <c r="N90" s="307">
        <f t="shared" si="25"/>
        <v>25.587619710994876</v>
      </c>
      <c r="O90" s="308">
        <f t="shared" si="16"/>
        <v>0.44658821170506047</v>
      </c>
      <c r="P90" s="235">
        <f t="shared" si="17"/>
        <v>375.11865516680723</v>
      </c>
      <c r="Q90" s="236">
        <f t="shared" si="18"/>
        <v>327.64478314500928</v>
      </c>
      <c r="R90" s="236">
        <f t="shared" si="26"/>
        <v>72.275788859436119</v>
      </c>
      <c r="S90" s="237">
        <f t="shared" si="27"/>
        <v>11.198481605340485</v>
      </c>
      <c r="T90" s="238">
        <f t="shared" si="19"/>
        <v>-15.11865516680723</v>
      </c>
      <c r="U90" s="239">
        <f t="shared" si="20"/>
        <v>32.355216854990715</v>
      </c>
      <c r="V90" s="240">
        <f t="shared" si="21"/>
        <v>-72.275788859436119</v>
      </c>
      <c r="W90" s="240">
        <f t="shared" si="22"/>
        <v>-11.198481605340485</v>
      </c>
      <c r="X90" s="240"/>
      <c r="Y90" s="299"/>
    </row>
    <row r="91" spans="13:25" hidden="1">
      <c r="M91" s="306">
        <f t="shared" si="15"/>
        <v>25.27259437325354</v>
      </c>
      <c r="N91" s="307">
        <f t="shared" si="25"/>
        <v>25.27259437325354</v>
      </c>
      <c r="O91" s="308">
        <f t="shared" si="16"/>
        <v>0.44108998233426705</v>
      </c>
      <c r="P91" s="235">
        <f t="shared" si="17"/>
        <v>375.12602925111224</v>
      </c>
      <c r="Q91" s="236">
        <f t="shared" si="18"/>
        <v>327.63740906070433</v>
      </c>
      <c r="R91" s="236">
        <f t="shared" si="26"/>
        <v>72.265571476898074</v>
      </c>
      <c r="S91" s="237">
        <f t="shared" si="27"/>
        <v>11.208698987878535</v>
      </c>
      <c r="T91" s="238">
        <f t="shared" si="19"/>
        <v>-15.126029251112243</v>
      </c>
      <c r="U91" s="239">
        <f t="shared" si="20"/>
        <v>32.362590939295671</v>
      </c>
      <c r="V91" s="240">
        <f t="shared" si="21"/>
        <v>-72.265571476898074</v>
      </c>
      <c r="W91" s="240">
        <f t="shared" si="22"/>
        <v>-11.208698987878535</v>
      </c>
      <c r="X91" s="240"/>
      <c r="Y91" s="299"/>
    </row>
    <row r="92" spans="13:25" hidden="1">
      <c r="M92" s="306">
        <f t="shared" si="15"/>
        <v>24.957569035512204</v>
      </c>
      <c r="N92" s="307">
        <f t="shared" si="25"/>
        <v>24.957569035512204</v>
      </c>
      <c r="O92" s="308">
        <f t="shared" si="16"/>
        <v>0.43559175296347358</v>
      </c>
      <c r="P92" s="235">
        <f t="shared" si="17"/>
        <v>375.12857402851375</v>
      </c>
      <c r="Q92" s="236">
        <f t="shared" si="18"/>
        <v>327.63486428330282</v>
      </c>
      <c r="R92" s="236">
        <f t="shared" si="26"/>
        <v>72.251789008491443</v>
      </c>
      <c r="S92" s="237">
        <f t="shared" si="27"/>
        <v>11.222481456285164</v>
      </c>
      <c r="T92" s="238">
        <f t="shared" si="19"/>
        <v>-15.128574028513754</v>
      </c>
      <c r="U92" s="239">
        <f t="shared" si="20"/>
        <v>32.365135716697182</v>
      </c>
      <c r="V92" s="240">
        <f t="shared" si="21"/>
        <v>-72.251789008491443</v>
      </c>
      <c r="W92" s="240">
        <f t="shared" si="22"/>
        <v>-11.222481456285164</v>
      </c>
      <c r="X92" s="240"/>
      <c r="Y92" s="299"/>
    </row>
    <row r="93" spans="13:25" hidden="1">
      <c r="M93" s="306">
        <f t="shared" si="15"/>
        <v>24.642543697770869</v>
      </c>
      <c r="N93" s="307">
        <f t="shared" si="25"/>
        <v>24.642543697770869</v>
      </c>
      <c r="O93" s="308">
        <f t="shared" si="16"/>
        <v>0.4300935235926801</v>
      </c>
      <c r="P93" s="235">
        <f t="shared" si="17"/>
        <v>375.12632830249152</v>
      </c>
      <c r="Q93" s="236">
        <f t="shared" si="18"/>
        <v>327.63711000932506</v>
      </c>
      <c r="R93" s="236">
        <f t="shared" si="26"/>
        <v>72.23446370694657</v>
      </c>
      <c r="S93" s="237">
        <f t="shared" si="27"/>
        <v>11.239806757830035</v>
      </c>
      <c r="T93" s="238">
        <f t="shared" si="19"/>
        <v>-15.126328302491515</v>
      </c>
      <c r="U93" s="239">
        <f t="shared" si="20"/>
        <v>32.362889990674944</v>
      </c>
      <c r="V93" s="240">
        <f t="shared" si="21"/>
        <v>-72.23446370694657</v>
      </c>
      <c r="W93" s="240">
        <f t="shared" si="22"/>
        <v>-11.239806757830035</v>
      </c>
      <c r="X93" s="240"/>
      <c r="Y93" s="299"/>
    </row>
    <row r="94" spans="13:25" hidden="1">
      <c r="M94" s="306">
        <f t="shared" si="15"/>
        <v>24.327518360029533</v>
      </c>
      <c r="N94" s="307">
        <f t="shared" si="25"/>
        <v>24.327518360029533</v>
      </c>
      <c r="O94" s="308">
        <f t="shared" si="16"/>
        <v>0.42459529422188663</v>
      </c>
      <c r="P94" s="235">
        <f t="shared" si="17"/>
        <v>375.11932704216923</v>
      </c>
      <c r="Q94" s="236">
        <f t="shared" si="18"/>
        <v>327.64411126964734</v>
      </c>
      <c r="R94" s="236">
        <f t="shared" si="26"/>
        <v>72.213615942118722</v>
      </c>
      <c r="S94" s="237">
        <f t="shared" si="27"/>
        <v>11.260654522657882</v>
      </c>
      <c r="T94" s="238">
        <f t="shared" si="19"/>
        <v>-15.119327042169232</v>
      </c>
      <c r="U94" s="239">
        <f t="shared" si="20"/>
        <v>32.35588873035266</v>
      </c>
      <c r="V94" s="240">
        <f t="shared" si="21"/>
        <v>-72.213615942118722</v>
      </c>
      <c r="W94" s="240">
        <f t="shared" si="22"/>
        <v>-11.260654522657882</v>
      </c>
      <c r="X94" s="240"/>
      <c r="Y94" s="299"/>
    </row>
    <row r="95" spans="13:25" hidden="1">
      <c r="M95" s="306">
        <f t="shared" si="15"/>
        <v>24.012493022288197</v>
      </c>
      <c r="N95" s="307">
        <f t="shared" si="25"/>
        <v>24.012493022288197</v>
      </c>
      <c r="O95" s="308">
        <f t="shared" si="16"/>
        <v>0.41909706485109316</v>
      </c>
      <c r="P95" s="235">
        <f t="shared" si="17"/>
        <v>375.10760146783656</v>
      </c>
      <c r="Q95" s="236">
        <f t="shared" si="18"/>
        <v>327.65583684397996</v>
      </c>
      <c r="R95" s="236">
        <f t="shared" si="26"/>
        <v>72.189264231853656</v>
      </c>
      <c r="S95" s="237">
        <f t="shared" si="27"/>
        <v>11.285006232922957</v>
      </c>
      <c r="T95" s="238">
        <f t="shared" si="19"/>
        <v>-15.10760146783656</v>
      </c>
      <c r="U95" s="239">
        <f t="shared" si="20"/>
        <v>32.344163156020045</v>
      </c>
      <c r="V95" s="240">
        <f t="shared" si="21"/>
        <v>-72.189264231853656</v>
      </c>
      <c r="W95" s="240">
        <f t="shared" si="22"/>
        <v>-11.285006232922957</v>
      </c>
      <c r="X95" s="240"/>
      <c r="Y95" s="299"/>
    </row>
    <row r="96" spans="13:25" hidden="1">
      <c r="M96" s="306">
        <f t="shared" si="15"/>
        <v>23.697467684546861</v>
      </c>
      <c r="N96" s="307">
        <f t="shared" si="25"/>
        <v>23.697467684546861</v>
      </c>
      <c r="O96" s="308">
        <f t="shared" si="16"/>
        <v>0.41359883548029969</v>
      </c>
      <c r="P96" s="235">
        <f t="shared" si="17"/>
        <v>375.09117912433118</v>
      </c>
      <c r="Q96" s="236">
        <f t="shared" si="18"/>
        <v>327.67225918748539</v>
      </c>
      <c r="R96" s="236">
        <f t="shared" si="26"/>
        <v>72.161425269257492</v>
      </c>
      <c r="S96" s="237">
        <f t="shared" si="27"/>
        <v>11.312845195519115</v>
      </c>
      <c r="T96" s="238">
        <f t="shared" si="19"/>
        <v>-15.091179124331177</v>
      </c>
      <c r="U96" s="239">
        <f t="shared" si="20"/>
        <v>32.327740812514605</v>
      </c>
      <c r="V96" s="240">
        <f t="shared" si="21"/>
        <v>-72.161425269257492</v>
      </c>
      <c r="W96" s="240">
        <f t="shared" si="22"/>
        <v>-11.312845195519115</v>
      </c>
      <c r="X96" s="240"/>
      <c r="Y96" s="299"/>
    </row>
    <row r="97" spans="13:25" hidden="1">
      <c r="M97" s="306">
        <f t="shared" ref="M97:M112" si="28">IF(N97&gt;maxn,maxn,IF(N97&lt;mins,mins,N97))</f>
        <v>23.382442346805526</v>
      </c>
      <c r="N97" s="307">
        <f t="shared" si="25"/>
        <v>23.382442346805526</v>
      </c>
      <c r="O97" s="308">
        <f t="shared" ref="O97:O112" si="29">RADIANS(M97)</f>
        <v>0.40810060610950621</v>
      </c>
      <c r="P97" s="235">
        <f t="shared" ref="P97:P112" si="30">IFERROR(DEGREES(grt+ACOS((SIN(h)-SIN(d)*SIN(O97))/COS(d)/COS(O97))),#N/A)</f>
        <v>375.07008394274874</v>
      </c>
      <c r="Q97" s="236">
        <f t="shared" ref="Q97:Q112" si="31">IFERROR(DEGREES(grt-ACOS((SIN(h)-SIN(d)*SIN(O97))/COS(d)/COS(O97))),#N/A)</f>
        <v>327.69335436906778</v>
      </c>
      <c r="R97" s="236">
        <f t="shared" si="26"/>
        <v>72.130113946470871</v>
      </c>
      <c r="S97" s="237">
        <f t="shared" si="27"/>
        <v>11.344156518305738</v>
      </c>
      <c r="T97" s="238">
        <f t="shared" ref="T97:T112" si="32">IF(P97&lt;0,ABS(P97),IF(P97&gt;360,-(P97-360),IF(AND(P97&gt;180,P97&lt;360),ABS(360-P97),-P97)))</f>
        <v>-15.070083942748738</v>
      </c>
      <c r="U97" s="239">
        <f t="shared" ref="U97:U112" si="33">IF(Q97&lt;0,ABS(Q97),IF(Q97&gt;360,Q97-(Q97-360),IF(AND(Q97&gt;180,Q97&lt;360),ABS(360-Q97),-Q97)))</f>
        <v>32.306645630932223</v>
      </c>
      <c r="V97" s="240">
        <f t="shared" ref="V97:V112" si="34">IF(R97&lt;0,ABS(R97),IF(R97&gt;360,-(R97-360),IF(AND(R97&gt;180,R97&lt;360),ABS(360-R97),-R97)))</f>
        <v>-72.130113946470871</v>
      </c>
      <c r="W97" s="240">
        <f t="shared" ref="W97:W112" si="35">IF(S97&lt;0,ABS(S97),IF(S97&gt;360,-(S97-360),IF(AND(S97&gt;180,S97&lt;360),ABS(360-S97),-S97)))</f>
        <v>-11.344156518305738</v>
      </c>
      <c r="X97" s="240"/>
      <c r="Y97" s="299"/>
    </row>
    <row r="98" spans="13:25" hidden="1">
      <c r="M98" s="306">
        <f t="shared" si="28"/>
        <v>23.06741700906419</v>
      </c>
      <c r="N98" s="307">
        <f t="shared" si="25"/>
        <v>23.06741700906419</v>
      </c>
      <c r="O98" s="308">
        <f t="shared" si="29"/>
        <v>0.4026023767387128</v>
      </c>
      <c r="P98" s="235">
        <f t="shared" si="30"/>
        <v>375.04433629086151</v>
      </c>
      <c r="Q98" s="236">
        <f t="shared" si="31"/>
        <v>327.71910202095506</v>
      </c>
      <c r="R98" s="236">
        <f t="shared" si="26"/>
        <v>72.095343375029131</v>
      </c>
      <c r="S98" s="237">
        <f t="shared" si="27"/>
        <v>11.378927089747478</v>
      </c>
      <c r="T98" s="238">
        <f t="shared" si="32"/>
        <v>-15.044336290861509</v>
      </c>
      <c r="U98" s="239">
        <f t="shared" si="33"/>
        <v>32.280897979044937</v>
      </c>
      <c r="V98" s="240">
        <f t="shared" si="34"/>
        <v>-72.095343375029131</v>
      </c>
      <c r="W98" s="240">
        <f t="shared" si="35"/>
        <v>-11.378927089747478</v>
      </c>
      <c r="X98" s="240"/>
      <c r="Y98" s="299"/>
    </row>
    <row r="99" spans="13:25" hidden="1">
      <c r="M99" s="306">
        <f t="shared" si="28"/>
        <v>22.752391671322854</v>
      </c>
      <c r="N99" s="307">
        <f t="shared" si="25"/>
        <v>22.752391671322854</v>
      </c>
      <c r="O99" s="308">
        <f t="shared" si="29"/>
        <v>0.39710414736791932</v>
      </c>
      <c r="P99" s="235">
        <f t="shared" si="30"/>
        <v>375.01395301254109</v>
      </c>
      <c r="Q99" s="236">
        <f t="shared" si="31"/>
        <v>327.74948529927542</v>
      </c>
      <c r="R99" s="236">
        <f t="shared" si="26"/>
        <v>72.057124902877533</v>
      </c>
      <c r="S99" s="237">
        <f t="shared" si="27"/>
        <v>11.417145561899078</v>
      </c>
      <c r="T99" s="238">
        <f t="shared" si="32"/>
        <v>-15.013953012541094</v>
      </c>
      <c r="U99" s="239">
        <f t="shared" si="33"/>
        <v>32.25051470072458</v>
      </c>
      <c r="V99" s="240">
        <f t="shared" si="34"/>
        <v>-72.057124902877533</v>
      </c>
      <c r="W99" s="240">
        <f t="shared" si="35"/>
        <v>-11.417145561899078</v>
      </c>
      <c r="X99" s="240"/>
      <c r="Y99" s="299"/>
    </row>
    <row r="100" spans="13:25" hidden="1">
      <c r="M100" s="306">
        <f t="shared" si="28"/>
        <v>22.437366333581519</v>
      </c>
      <c r="N100" s="307">
        <f t="shared" si="25"/>
        <v>22.437366333581519</v>
      </c>
      <c r="O100" s="308">
        <f t="shared" si="29"/>
        <v>0.39160591799712585</v>
      </c>
      <c r="P100" s="235">
        <f t="shared" si="30"/>
        <v>374.97894745640099</v>
      </c>
      <c r="Q100" s="236">
        <f t="shared" si="31"/>
        <v>327.78449085541558</v>
      </c>
      <c r="R100" s="236">
        <f t="shared" si="26"/>
        <v>72.0154681280939</v>
      </c>
      <c r="S100" s="237">
        <f t="shared" si="27"/>
        <v>11.4588023366827</v>
      </c>
      <c r="T100" s="238">
        <f t="shared" si="32"/>
        <v>-14.978947456400988</v>
      </c>
      <c r="U100" s="239">
        <f t="shared" si="33"/>
        <v>32.215509144584416</v>
      </c>
      <c r="V100" s="240">
        <f t="shared" si="34"/>
        <v>-72.0154681280939</v>
      </c>
      <c r="W100" s="240">
        <f t="shared" si="35"/>
        <v>-11.4588023366827</v>
      </c>
      <c r="X100" s="240"/>
      <c r="Y100" s="299"/>
    </row>
    <row r="101" spans="13:25" hidden="1">
      <c r="M101" s="306">
        <f t="shared" si="28"/>
        <v>22.122340995840183</v>
      </c>
      <c r="N101" s="307">
        <f t="shared" si="25"/>
        <v>22.122340995840183</v>
      </c>
      <c r="O101" s="308">
        <f t="shared" si="29"/>
        <v>0.38610768862633238</v>
      </c>
      <c r="P101" s="235">
        <f t="shared" si="30"/>
        <v>374.93932949379405</v>
      </c>
      <c r="Q101" s="236">
        <f t="shared" si="31"/>
        <v>327.82410881802252</v>
      </c>
      <c r="R101" s="236">
        <f t="shared" si="26"/>
        <v>71.97038090935807</v>
      </c>
      <c r="S101" s="237">
        <f t="shared" si="27"/>
        <v>11.503889555418539</v>
      </c>
      <c r="T101" s="238">
        <f t="shared" si="32"/>
        <v>-14.939329493794048</v>
      </c>
      <c r="U101" s="239">
        <f t="shared" si="33"/>
        <v>32.175891181977477</v>
      </c>
      <c r="V101" s="240">
        <f t="shared" si="34"/>
        <v>-71.97038090935807</v>
      </c>
      <c r="W101" s="240">
        <f t="shared" si="35"/>
        <v>-11.503889555418539</v>
      </c>
      <c r="X101" s="240"/>
      <c r="Y101" s="299"/>
    </row>
    <row r="102" spans="13:25" hidden="1">
      <c r="M102" s="306">
        <f t="shared" si="28"/>
        <v>21.807315658098847</v>
      </c>
      <c r="N102" s="307">
        <f t="shared" si="25"/>
        <v>21.807315658098847</v>
      </c>
      <c r="O102" s="308">
        <f t="shared" si="29"/>
        <v>0.38060945925553891</v>
      </c>
      <c r="P102" s="235">
        <f t="shared" si="30"/>
        <v>374.8951055262259</v>
      </c>
      <c r="Q102" s="236">
        <f t="shared" si="31"/>
        <v>327.86833278559061</v>
      </c>
      <c r="R102" s="236">
        <f t="shared" si="26"/>
        <v>71.921869373192237</v>
      </c>
      <c r="S102" s="237">
        <f t="shared" si="27"/>
        <v>11.552401091584361</v>
      </c>
      <c r="T102" s="238">
        <f t="shared" si="32"/>
        <v>-14.895105526225905</v>
      </c>
      <c r="U102" s="239">
        <f t="shared" si="33"/>
        <v>32.13166721440939</v>
      </c>
      <c r="V102" s="240">
        <f t="shared" si="34"/>
        <v>-71.921869373192237</v>
      </c>
      <c r="W102" s="240">
        <f t="shared" si="35"/>
        <v>-11.552401091584361</v>
      </c>
      <c r="X102" s="240"/>
      <c r="Y102" s="299"/>
    </row>
    <row r="103" spans="13:25" hidden="1">
      <c r="M103" s="306">
        <f t="shared" si="28"/>
        <v>21.492290320357512</v>
      </c>
      <c r="N103" s="307">
        <f t="shared" si="25"/>
        <v>21.492290320357512</v>
      </c>
      <c r="O103" s="308">
        <f t="shared" si="29"/>
        <v>0.37511122988474543</v>
      </c>
      <c r="P103" s="235">
        <f t="shared" si="30"/>
        <v>374.84627848216604</v>
      </c>
      <c r="Q103" s="236">
        <f t="shared" si="31"/>
        <v>327.91715982965053</v>
      </c>
      <c r="R103" s="236">
        <f t="shared" si="26"/>
        <v>71.869937917982966</v>
      </c>
      <c r="S103" s="237">
        <f t="shared" si="27"/>
        <v>11.604332546793641</v>
      </c>
      <c r="T103" s="238">
        <f t="shared" si="32"/>
        <v>-14.846278482166042</v>
      </c>
      <c r="U103" s="239">
        <f t="shared" si="33"/>
        <v>32.082840170349471</v>
      </c>
      <c r="V103" s="240">
        <f t="shared" si="34"/>
        <v>-71.869937917982966</v>
      </c>
      <c r="W103" s="240">
        <f t="shared" si="35"/>
        <v>-11.604332546793641</v>
      </c>
      <c r="X103" s="240"/>
      <c r="Y103" s="299"/>
    </row>
    <row r="104" spans="13:25" hidden="1">
      <c r="M104" s="306">
        <f t="shared" si="28"/>
        <v>21.177264982616176</v>
      </c>
      <c r="N104" s="307">
        <f t="shared" si="25"/>
        <v>21.177264982616176</v>
      </c>
      <c r="O104" s="308">
        <f t="shared" si="29"/>
        <v>0.36961300051395196</v>
      </c>
      <c r="P104" s="235">
        <f t="shared" si="30"/>
        <v>374.79284780316237</v>
      </c>
      <c r="Q104" s="236">
        <f t="shared" si="31"/>
        <v>327.9705905086542</v>
      </c>
      <c r="R104" s="236">
        <f t="shared" ref="R104:R135" si="36">IFERROR(DEGREES(grt_+ACOS((SIN(h_)-SIN(d_)*SIN(O104))/COS(d_)/COS(O104))),#N/A)</f>
        <v>71.814589214781577</v>
      </c>
      <c r="S104" s="237">
        <f t="shared" ref="S104:S135" si="37">IFERROR(DEGREES(grt_-ACOS((SIN(h_)-SIN(d_)*SIN(O104))/COS(d_)/COS(O104))),#N/A)</f>
        <v>11.659681249995032</v>
      </c>
      <c r="T104" s="238">
        <f t="shared" si="32"/>
        <v>-14.792847803162374</v>
      </c>
      <c r="U104" s="239">
        <f t="shared" si="33"/>
        <v>32.029409491345803</v>
      </c>
      <c r="V104" s="240">
        <f t="shared" si="34"/>
        <v>-71.814589214781577</v>
      </c>
      <c r="W104" s="240">
        <f t="shared" si="35"/>
        <v>-11.659681249995032</v>
      </c>
      <c r="X104" s="240"/>
      <c r="Y104" s="299"/>
    </row>
    <row r="105" spans="13:25" hidden="1">
      <c r="M105" s="306">
        <f t="shared" si="28"/>
        <v>20.86223964487484</v>
      </c>
      <c r="N105" s="307">
        <f t="shared" si="25"/>
        <v>20.86223964487484</v>
      </c>
      <c r="O105" s="308">
        <f t="shared" si="29"/>
        <v>0.36411477114315854</v>
      </c>
      <c r="P105" s="235">
        <f t="shared" si="30"/>
        <v>374.73480941908667</v>
      </c>
      <c r="Q105" s="236">
        <f t="shared" si="31"/>
        <v>328.02862889272984</v>
      </c>
      <c r="R105" s="236">
        <f t="shared" si="36"/>
        <v>71.75582420486495</v>
      </c>
      <c r="S105" s="237">
        <f t="shared" si="37"/>
        <v>11.718446259911655</v>
      </c>
      <c r="T105" s="238">
        <f t="shared" si="32"/>
        <v>-14.734809419086673</v>
      </c>
      <c r="U105" s="239">
        <f t="shared" si="33"/>
        <v>31.971371107270159</v>
      </c>
      <c r="V105" s="240">
        <f t="shared" si="34"/>
        <v>-71.75582420486495</v>
      </c>
      <c r="W105" s="240">
        <f t="shared" si="35"/>
        <v>-11.718446259911655</v>
      </c>
      <c r="X105" s="240"/>
      <c r="Y105" s="299"/>
    </row>
    <row r="106" spans="13:25" hidden="1">
      <c r="M106" s="306">
        <f t="shared" si="28"/>
        <v>20.547214307133505</v>
      </c>
      <c r="N106" s="307">
        <f t="shared" si="25"/>
        <v>20.547214307133505</v>
      </c>
      <c r="O106" s="308">
        <f t="shared" si="29"/>
        <v>0.35861654177236507</v>
      </c>
      <c r="P106" s="235">
        <f t="shared" si="30"/>
        <v>374.6721557122554</v>
      </c>
      <c r="Q106" s="236">
        <f t="shared" si="31"/>
        <v>328.09128259956117</v>
      </c>
      <c r="R106" s="236">
        <f t="shared" si="36"/>
        <v>71.693642094025108</v>
      </c>
      <c r="S106" s="237">
        <f t="shared" si="37"/>
        <v>11.78062837075149</v>
      </c>
      <c r="T106" s="238">
        <f t="shared" si="32"/>
        <v>-14.672155712255403</v>
      </c>
      <c r="U106" s="239">
        <f t="shared" si="33"/>
        <v>31.908717400438832</v>
      </c>
      <c r="V106" s="240">
        <f t="shared" si="34"/>
        <v>-71.693642094025108</v>
      </c>
      <c r="W106" s="240">
        <f t="shared" si="35"/>
        <v>-11.78062837075149</v>
      </c>
      <c r="X106" s="240"/>
      <c r="Y106" s="299"/>
    </row>
    <row r="107" spans="13:25" hidden="1">
      <c r="M107" s="306">
        <f t="shared" si="28"/>
        <v>20.232188969392169</v>
      </c>
      <c r="N107" s="307">
        <f t="shared" si="25"/>
        <v>20.232188969392169</v>
      </c>
      <c r="O107" s="308">
        <f t="shared" si="29"/>
        <v>0.3531183124015716</v>
      </c>
      <c r="P107" s="235">
        <f t="shared" si="30"/>
        <v>374.60487547008518</v>
      </c>
      <c r="Q107" s="236">
        <f t="shared" si="31"/>
        <v>328.15856284173134</v>
      </c>
      <c r="R107" s="236">
        <f t="shared" si="36"/>
        <v>71.628040343540349</v>
      </c>
      <c r="S107" s="237">
        <f t="shared" si="37"/>
        <v>11.84623012123626</v>
      </c>
      <c r="T107" s="238">
        <f t="shared" si="32"/>
        <v>-14.604875470085176</v>
      </c>
      <c r="U107" s="239">
        <f t="shared" si="33"/>
        <v>31.841437158268661</v>
      </c>
      <c r="V107" s="240">
        <f t="shared" si="34"/>
        <v>-71.628040343540349</v>
      </c>
      <c r="W107" s="240">
        <f t="shared" si="35"/>
        <v>-11.84623012123626</v>
      </c>
      <c r="X107" s="240"/>
      <c r="Y107" s="299"/>
    </row>
    <row r="108" spans="13:25" hidden="1">
      <c r="M108" s="306">
        <f t="shared" si="28"/>
        <v>19.917163631650833</v>
      </c>
      <c r="N108" s="307">
        <f t="shared" si="25"/>
        <v>19.917163631650833</v>
      </c>
      <c r="O108" s="308">
        <f t="shared" si="29"/>
        <v>0.34762008303077813</v>
      </c>
      <c r="P108" s="235">
        <f t="shared" si="30"/>
        <v>374.53295382585287</v>
      </c>
      <c r="Q108" s="236">
        <f t="shared" si="31"/>
        <v>328.2304844859637</v>
      </c>
      <c r="R108" s="236">
        <f t="shared" si="36"/>
        <v>71.559014657766497</v>
      </c>
      <c r="S108" s="237">
        <f t="shared" si="37"/>
        <v>11.915255807010103</v>
      </c>
      <c r="T108" s="238">
        <f t="shared" si="32"/>
        <v>-14.532953825852871</v>
      </c>
      <c r="U108" s="239">
        <f t="shared" si="33"/>
        <v>31.7695155140363</v>
      </c>
      <c r="V108" s="240">
        <f t="shared" si="34"/>
        <v>-71.559014657766497</v>
      </c>
      <c r="W108" s="240">
        <f t="shared" si="35"/>
        <v>-11.915255807010103</v>
      </c>
      <c r="X108" s="240"/>
      <c r="Y108" s="299"/>
    </row>
    <row r="109" spans="13:25" hidden="1">
      <c r="M109" s="306">
        <f t="shared" si="28"/>
        <v>19.602138293909498</v>
      </c>
      <c r="N109" s="307">
        <f t="shared" si="25"/>
        <v>19.602138293909498</v>
      </c>
      <c r="O109" s="308">
        <f t="shared" si="29"/>
        <v>0.34212185365998465</v>
      </c>
      <c r="P109" s="235">
        <f t="shared" si="30"/>
        <v>374.45637218703229</v>
      </c>
      <c r="Q109" s="236">
        <f t="shared" si="31"/>
        <v>328.30706612478423</v>
      </c>
      <c r="R109" s="236">
        <f t="shared" si="36"/>
        <v>71.486558968270771</v>
      </c>
      <c r="S109" s="237">
        <f t="shared" si="37"/>
        <v>11.987711496505831</v>
      </c>
      <c r="T109" s="238">
        <f t="shared" si="32"/>
        <v>-14.456372187032287</v>
      </c>
      <c r="U109" s="239">
        <f t="shared" si="33"/>
        <v>31.692933875215772</v>
      </c>
      <c r="V109" s="240">
        <f t="shared" si="34"/>
        <v>-71.486558968270771</v>
      </c>
      <c r="W109" s="240">
        <f t="shared" si="35"/>
        <v>-11.987711496505831</v>
      </c>
      <c r="X109" s="240"/>
      <c r="Y109" s="299"/>
    </row>
    <row r="110" spans="13:25" hidden="1">
      <c r="M110" s="306">
        <f t="shared" si="28"/>
        <v>19.287112956168162</v>
      </c>
      <c r="N110" s="307">
        <f t="shared" si="25"/>
        <v>19.287112956168162</v>
      </c>
      <c r="O110" s="308">
        <f t="shared" si="29"/>
        <v>0.33662362428919118</v>
      </c>
      <c r="P110" s="235">
        <f t="shared" si="30"/>
        <v>374.37510815057431</v>
      </c>
      <c r="Q110" s="236">
        <f t="shared" si="31"/>
        <v>328.38833016124227</v>
      </c>
      <c r="R110" s="236">
        <f t="shared" si="36"/>
        <v>71.410665414413401</v>
      </c>
      <c r="S110" s="237">
        <f t="shared" si="37"/>
        <v>12.063605050363211</v>
      </c>
      <c r="T110" s="238">
        <f t="shared" si="32"/>
        <v>-14.375108150574306</v>
      </c>
      <c r="U110" s="239">
        <f t="shared" si="33"/>
        <v>31.611669838757734</v>
      </c>
      <c r="V110" s="240">
        <f t="shared" si="34"/>
        <v>-71.410665414413401</v>
      </c>
      <c r="W110" s="240">
        <f t="shared" si="35"/>
        <v>-12.063605050363211</v>
      </c>
      <c r="X110" s="240"/>
      <c r="Y110" s="299"/>
    </row>
    <row r="111" spans="13:25" hidden="1">
      <c r="M111" s="306">
        <f t="shared" si="28"/>
        <v>18.972087618426826</v>
      </c>
      <c r="N111" s="307">
        <f t="shared" si="25"/>
        <v>18.972087618426826</v>
      </c>
      <c r="O111" s="308">
        <f t="shared" si="29"/>
        <v>0.33112539491839776</v>
      </c>
      <c r="P111" s="235">
        <f t="shared" si="30"/>
        <v>374.28913540438413</v>
      </c>
      <c r="Q111" s="236">
        <f t="shared" si="31"/>
        <v>328.47430290743245</v>
      </c>
      <c r="R111" s="236">
        <f t="shared" si="36"/>
        <v>71.331324320266148</v>
      </c>
      <c r="S111" s="237">
        <f t="shared" si="37"/>
        <v>12.142946144510452</v>
      </c>
      <c r="T111" s="238">
        <f t="shared" si="32"/>
        <v>-14.289135404384126</v>
      </c>
      <c r="U111" s="239">
        <f t="shared" si="33"/>
        <v>31.525697092567555</v>
      </c>
      <c r="V111" s="240">
        <f t="shared" si="34"/>
        <v>-71.331324320266148</v>
      </c>
      <c r="W111" s="240">
        <f t="shared" si="35"/>
        <v>-12.142946144510452</v>
      </c>
      <c r="X111" s="240"/>
      <c r="Y111" s="299"/>
    </row>
    <row r="112" spans="13:25" hidden="1">
      <c r="M112" s="306">
        <f t="shared" si="28"/>
        <v>18.657062280685491</v>
      </c>
      <c r="N112" s="307">
        <f t="shared" si="25"/>
        <v>18.657062280685491</v>
      </c>
      <c r="O112" s="308">
        <f t="shared" si="29"/>
        <v>0.32562716554760429</v>
      </c>
      <c r="P112" s="235">
        <f t="shared" si="30"/>
        <v>374.19842361412287</v>
      </c>
      <c r="Q112" s="236">
        <f t="shared" si="31"/>
        <v>328.5650146976937</v>
      </c>
      <c r="R112" s="236">
        <f t="shared" si="36"/>
        <v>71.248524167737827</v>
      </c>
      <c r="S112" s="237">
        <f t="shared" si="37"/>
        <v>12.225746297038784</v>
      </c>
      <c r="T112" s="238">
        <f t="shared" si="32"/>
        <v>-14.198423614122873</v>
      </c>
      <c r="U112" s="239">
        <f t="shared" si="33"/>
        <v>31.434985302306302</v>
      </c>
      <c r="V112" s="240">
        <f t="shared" si="34"/>
        <v>-71.248524167737827</v>
      </c>
      <c r="W112" s="240">
        <f t="shared" si="35"/>
        <v>-12.225746297038784</v>
      </c>
      <c r="X112" s="240"/>
      <c r="Y112" s="299"/>
    </row>
    <row r="113" spans="13:25" hidden="1">
      <c r="M113" s="306">
        <f t="shared" ref="M113:M176" si="38">IF(N113&gt;maxn,maxn,IF(N113&lt;mins,mins,N113))</f>
        <v>18.342036942944155</v>
      </c>
      <c r="N113" s="307">
        <f t="shared" si="25"/>
        <v>18.342036942944155</v>
      </c>
      <c r="O113" s="308">
        <f t="shared" ref="O113:O176" si="39">RADIANS(M113)</f>
        <v>0.32012893617681082</v>
      </c>
      <c r="P113" s="235">
        <f t="shared" ref="P113:P176" si="40">IFERROR(DEGREES(grt+ACOS((SIN(h)-SIN(d)*SIN(O113))/COS(d)/COS(O113))),#N/A)</f>
        <v>374.10293829432152</v>
      </c>
      <c r="Q113" s="236">
        <f t="shared" ref="Q113:Q176" si="41">IFERROR(DEGREES(grt-ACOS((SIN(h)-SIN(d)*SIN(O113))/COS(d)/COS(O113))),#N/A)</f>
        <v>328.66050001749505</v>
      </c>
      <c r="R113" s="236">
        <f t="shared" si="36"/>
        <v>71.162251565756662</v>
      </c>
      <c r="S113" s="237">
        <f t="shared" si="37"/>
        <v>12.31201889901995</v>
      </c>
      <c r="T113" s="238">
        <f t="shared" ref="T113:T176" si="42">IF(P113&lt;0,ABS(P113),IF(P113&gt;360,-(P113-360),IF(AND(P113&gt;180,P113&lt;360),ABS(360-P113),-P113)))</f>
        <v>-14.102938294321518</v>
      </c>
      <c r="U113" s="239">
        <f t="shared" ref="U113:U176" si="43">IF(Q113&lt;0,ABS(Q113),IF(Q113&gt;360,Q113-(Q113-360),IF(AND(Q113&gt;180,Q113&lt;360),ABS(360-Q113),-Q113)))</f>
        <v>31.339499982504947</v>
      </c>
      <c r="V113" s="240">
        <f t="shared" ref="V113:V176" si="44">IF(R113&lt;0,ABS(R113),IF(R113&gt;360,-(R113-360),IF(AND(R113&gt;180,R113&lt;360),ABS(360-R113),-R113)))</f>
        <v>-71.162251565756662</v>
      </c>
      <c r="W113" s="240">
        <f t="shared" ref="W113:W176" si="45">IF(S113&lt;0,ABS(S113),IF(S113&gt;360,-(S113-360),IF(AND(S113&gt;180,S113&lt;360),ABS(360-S113),-S113)))</f>
        <v>-12.31201889901995</v>
      </c>
      <c r="X113" s="240"/>
      <c r="Y113" s="299"/>
    </row>
    <row r="114" spans="13:25" hidden="1">
      <c r="M114" s="306">
        <f t="shared" si="38"/>
        <v>18.027011605202819</v>
      </c>
      <c r="N114" s="307">
        <f t="shared" si="25"/>
        <v>18.027011605202819</v>
      </c>
      <c r="O114" s="308">
        <f t="shared" si="39"/>
        <v>0.31463070680601735</v>
      </c>
      <c r="P114" s="235">
        <f t="shared" si="40"/>
        <v>374.00264066263992</v>
      </c>
      <c r="Q114" s="236">
        <f t="shared" si="41"/>
        <v>328.76079764917665</v>
      </c>
      <c r="R114" s="236">
        <f t="shared" si="36"/>
        <v>71.072491215339937</v>
      </c>
      <c r="S114" s="237">
        <f t="shared" si="37"/>
        <v>12.401779249436672</v>
      </c>
      <c r="T114" s="238">
        <f t="shared" si="42"/>
        <v>-14.002640662639919</v>
      </c>
      <c r="U114" s="239">
        <f t="shared" si="43"/>
        <v>31.239202350823348</v>
      </c>
      <c r="V114" s="240">
        <f t="shared" si="44"/>
        <v>-71.072491215339937</v>
      </c>
      <c r="W114" s="240">
        <f t="shared" si="45"/>
        <v>-12.401779249436672</v>
      </c>
      <c r="X114" s="240"/>
      <c r="Y114" s="299"/>
    </row>
    <row r="115" spans="13:25" hidden="1">
      <c r="M115" s="306">
        <f t="shared" si="38"/>
        <v>17.711986267461484</v>
      </c>
      <c r="N115" s="307">
        <f t="shared" si="25"/>
        <v>17.711986267461484</v>
      </c>
      <c r="O115" s="308">
        <f t="shared" si="39"/>
        <v>0.30913247743522387</v>
      </c>
      <c r="P115" s="235">
        <f t="shared" si="40"/>
        <v>373.8974874759291</v>
      </c>
      <c r="Q115" s="236">
        <f t="shared" si="41"/>
        <v>328.86595083588742</v>
      </c>
      <c r="R115" s="236">
        <f t="shared" si="36"/>
        <v>70.979225870356942</v>
      </c>
      <c r="S115" s="237">
        <f t="shared" si="37"/>
        <v>12.49504459441966</v>
      </c>
      <c r="T115" s="238">
        <f t="shared" si="42"/>
        <v>-13.897487475929097</v>
      </c>
      <c r="U115" s="239">
        <f t="shared" si="43"/>
        <v>31.134049164112582</v>
      </c>
      <c r="V115" s="240">
        <f t="shared" si="44"/>
        <v>-70.979225870356942</v>
      </c>
      <c r="W115" s="240">
        <f t="shared" si="45"/>
        <v>-12.49504459441966</v>
      </c>
      <c r="X115" s="240"/>
      <c r="Y115" s="299"/>
    </row>
    <row r="116" spans="13:25" hidden="1">
      <c r="M116" s="306">
        <f t="shared" si="38"/>
        <v>17.396960929720148</v>
      </c>
      <c r="N116" s="307">
        <f t="shared" si="25"/>
        <v>17.396960929720148</v>
      </c>
      <c r="O116" s="308">
        <f t="shared" si="39"/>
        <v>0.3036342480644304</v>
      </c>
      <c r="P116" s="235">
        <f t="shared" si="40"/>
        <v>373.78743084655872</v>
      </c>
      <c r="Q116" s="236">
        <f t="shared" si="41"/>
        <v>328.97600746525785</v>
      </c>
      <c r="R116" s="236">
        <f t="shared" si="36"/>
        <v>70.882436293768137</v>
      </c>
      <c r="S116" s="237">
        <f t="shared" si="37"/>
        <v>12.59183417100847</v>
      </c>
      <c r="T116" s="238">
        <f t="shared" si="42"/>
        <v>-13.787430846558721</v>
      </c>
      <c r="U116" s="239">
        <f t="shared" si="43"/>
        <v>31.023992534742149</v>
      </c>
      <c r="V116" s="240">
        <f t="shared" si="44"/>
        <v>-70.882436293768137</v>
      </c>
      <c r="W116" s="240">
        <f t="shared" si="45"/>
        <v>-12.59183417100847</v>
      </c>
      <c r="X116" s="240"/>
      <c r="Y116" s="299"/>
    </row>
    <row r="117" spans="13:25" hidden="1">
      <c r="M117" s="306">
        <f t="shared" si="38"/>
        <v>17.081935591978812</v>
      </c>
      <c r="N117" s="307">
        <f t="shared" si="25"/>
        <v>17.081935591978812</v>
      </c>
      <c r="O117" s="308">
        <f t="shared" si="39"/>
        <v>0.29813601869363693</v>
      </c>
      <c r="P117" s="235">
        <f t="shared" si="40"/>
        <v>373.67241803724784</v>
      </c>
      <c r="Q117" s="236">
        <f t="shared" si="41"/>
        <v>329.09102027456873</v>
      </c>
      <c r="R117" s="236">
        <f t="shared" si="36"/>
        <v>70.782101209096098</v>
      </c>
      <c r="S117" s="237">
        <f t="shared" si="37"/>
        <v>12.692169255680504</v>
      </c>
      <c r="T117" s="238">
        <f t="shared" si="42"/>
        <v>-13.672418037247837</v>
      </c>
      <c r="U117" s="239">
        <f t="shared" si="43"/>
        <v>30.908979725431266</v>
      </c>
      <c r="V117" s="240">
        <f t="shared" si="44"/>
        <v>-70.782101209096098</v>
      </c>
      <c r="W117" s="240">
        <f t="shared" si="45"/>
        <v>-12.692169255680504</v>
      </c>
      <c r="X117" s="240"/>
      <c r="Y117" s="299"/>
    </row>
    <row r="118" spans="13:25" hidden="1">
      <c r="M118" s="306">
        <f t="shared" si="38"/>
        <v>16.766910254237477</v>
      </c>
      <c r="N118" s="307">
        <f t="shared" si="25"/>
        <v>16.766910254237477</v>
      </c>
      <c r="O118" s="308">
        <f t="shared" si="39"/>
        <v>0.29263778932284351</v>
      </c>
      <c r="P118" s="235">
        <f t="shared" si="40"/>
        <v>373.55239123238414</v>
      </c>
      <c r="Q118" s="236">
        <f t="shared" si="41"/>
        <v>329.21104707943243</v>
      </c>
      <c r="R118" s="236">
        <f t="shared" si="36"/>
        <v>70.678197246855305</v>
      </c>
      <c r="S118" s="237">
        <f t="shared" si="37"/>
        <v>12.7960732179213</v>
      </c>
      <c r="T118" s="238">
        <f t="shared" si="42"/>
        <v>-13.552391232384139</v>
      </c>
      <c r="U118" s="239">
        <f t="shared" si="43"/>
        <v>30.788952920567567</v>
      </c>
      <c r="V118" s="240">
        <f t="shared" si="44"/>
        <v>-70.678197246855305</v>
      </c>
      <c r="W118" s="240">
        <f t="shared" si="45"/>
        <v>-12.7960732179213</v>
      </c>
      <c r="X118" s="240"/>
      <c r="Y118" s="299"/>
    </row>
    <row r="119" spans="13:25" hidden="1">
      <c r="M119" s="306">
        <f t="shared" si="38"/>
        <v>16.451884916496141</v>
      </c>
      <c r="N119" s="307">
        <f t="shared" si="25"/>
        <v>16.451884916496141</v>
      </c>
      <c r="O119" s="308">
        <f t="shared" si="39"/>
        <v>0.28713955995205004</v>
      </c>
      <c r="P119" s="235">
        <f t="shared" si="40"/>
        <v>373.42728728352392</v>
      </c>
      <c r="Q119" s="236">
        <f t="shared" si="41"/>
        <v>329.33615102829265</v>
      </c>
      <c r="R119" s="236">
        <f t="shared" si="36"/>
        <v>70.570698885635693</v>
      </c>
      <c r="S119" s="237">
        <f t="shared" si="37"/>
        <v>12.903571579140914</v>
      </c>
      <c r="T119" s="238">
        <f t="shared" si="42"/>
        <v>-13.427287283523924</v>
      </c>
      <c r="U119" s="239">
        <f t="shared" si="43"/>
        <v>30.663848971707353</v>
      </c>
      <c r="V119" s="240">
        <f t="shared" si="44"/>
        <v>-70.570698885635693</v>
      </c>
      <c r="W119" s="240">
        <f t="shared" si="45"/>
        <v>-12.903571579140914</v>
      </c>
      <c r="X119" s="240"/>
      <c r="Y119" s="299"/>
    </row>
    <row r="120" spans="13:25" hidden="1">
      <c r="M120" s="306">
        <f t="shared" si="38"/>
        <v>16.136859578754805</v>
      </c>
      <c r="N120" s="307">
        <f t="shared" si="25"/>
        <v>16.136859578754805</v>
      </c>
      <c r="O120" s="308">
        <f t="shared" si="39"/>
        <v>0.28164133058125657</v>
      </c>
      <c r="P120" s="235">
        <f t="shared" si="40"/>
        <v>373.29703742643284</v>
      </c>
      <c r="Q120" s="236">
        <f t="shared" si="41"/>
        <v>329.46640088538373</v>
      </c>
      <c r="R120" s="236">
        <f t="shared" si="36"/>
        <v>70.459578387500144</v>
      </c>
      <c r="S120" s="237">
        <f t="shared" si="37"/>
        <v>13.014692077276457</v>
      </c>
      <c r="T120" s="238">
        <f t="shared" si="42"/>
        <v>-13.297037426432837</v>
      </c>
      <c r="U120" s="239">
        <f t="shared" si="43"/>
        <v>30.533599114616266</v>
      </c>
      <c r="V120" s="240">
        <f t="shared" si="44"/>
        <v>-70.459578387500144</v>
      </c>
      <c r="W120" s="240">
        <f t="shared" si="45"/>
        <v>-13.014692077276457</v>
      </c>
      <c r="X120" s="240"/>
      <c r="Y120" s="299"/>
    </row>
    <row r="121" spans="13:25" hidden="1">
      <c r="M121" s="306">
        <f t="shared" si="38"/>
        <v>15.821834241013468</v>
      </c>
      <c r="N121" s="307">
        <f t="shared" si="25"/>
        <v>15.821834241013468</v>
      </c>
      <c r="O121" s="308">
        <f t="shared" si="39"/>
        <v>0.27614310121046304</v>
      </c>
      <c r="P121" s="235">
        <f t="shared" si="40"/>
        <v>373.16156696664086</v>
      </c>
      <c r="Q121" s="236">
        <f t="shared" si="41"/>
        <v>329.60187134517565</v>
      </c>
      <c r="R121" s="236">
        <f t="shared" si="36"/>
        <v>70.344805727318246</v>
      </c>
      <c r="S121" s="237">
        <f t="shared" si="37"/>
        <v>13.12946473745836</v>
      </c>
      <c r="T121" s="238">
        <f t="shared" si="42"/>
        <v>-13.161566966640862</v>
      </c>
      <c r="U121" s="239">
        <f t="shared" si="43"/>
        <v>30.398128654824347</v>
      </c>
      <c r="V121" s="240">
        <f t="shared" si="44"/>
        <v>-70.344805727318246</v>
      </c>
      <c r="W121" s="240">
        <f t="shared" si="45"/>
        <v>-13.12946473745836</v>
      </c>
      <c r="X121" s="240"/>
      <c r="Y121" s="299"/>
    </row>
    <row r="122" spans="13:25" hidden="1">
      <c r="M122" s="306">
        <f t="shared" si="38"/>
        <v>15.50680890327213</v>
      </c>
      <c r="N122" s="307">
        <f t="shared" si="25"/>
        <v>15.50680890327213</v>
      </c>
      <c r="O122" s="308">
        <f t="shared" si="39"/>
        <v>0.27064487183966957</v>
      </c>
      <c r="P122" s="235">
        <f t="shared" si="40"/>
        <v>373.02079493003657</v>
      </c>
      <c r="Q122" s="236">
        <f t="shared" si="41"/>
        <v>329.74264338178</v>
      </c>
      <c r="R122" s="236">
        <f t="shared" si="36"/>
        <v>70.226348515615229</v>
      </c>
      <c r="S122" s="237">
        <f t="shared" si="37"/>
        <v>13.247921949161382</v>
      </c>
      <c r="T122" s="238">
        <f t="shared" si="42"/>
        <v>-13.020794930036573</v>
      </c>
      <c r="U122" s="239">
        <f t="shared" si="43"/>
        <v>30.257356618220001</v>
      </c>
      <c r="V122" s="240">
        <f t="shared" si="44"/>
        <v>-70.226348515615229</v>
      </c>
      <c r="W122" s="240">
        <f t="shared" si="45"/>
        <v>-13.247921949161382</v>
      </c>
      <c r="X122" s="240"/>
      <c r="Y122" s="299"/>
    </row>
    <row r="123" spans="13:25" hidden="1">
      <c r="M123" s="306">
        <f t="shared" si="38"/>
        <v>15.191783565530793</v>
      </c>
      <c r="N123" s="307">
        <f t="shared" si="25"/>
        <v>15.191783565530793</v>
      </c>
      <c r="O123" s="308">
        <f t="shared" si="39"/>
        <v>0.26514664246887609</v>
      </c>
      <c r="P123" s="235">
        <f t="shared" si="40"/>
        <v>372.87463367450908</v>
      </c>
      <c r="Q123" s="236">
        <f t="shared" si="41"/>
        <v>329.88880463730749</v>
      </c>
      <c r="R123" s="236">
        <f t="shared" si="36"/>
        <v>70.10417191446858</v>
      </c>
      <c r="S123" s="237">
        <f t="shared" si="37"/>
        <v>13.37009855030802</v>
      </c>
      <c r="T123" s="238">
        <f t="shared" si="42"/>
        <v>-12.874633674509084</v>
      </c>
      <c r="U123" s="239">
        <f t="shared" si="43"/>
        <v>30.111195362692513</v>
      </c>
      <c r="V123" s="240">
        <f t="shared" si="44"/>
        <v>-70.10417191446858</v>
      </c>
      <c r="W123" s="240">
        <f t="shared" si="45"/>
        <v>-13.37009855030802</v>
      </c>
      <c r="X123" s="240"/>
      <c r="Y123" s="299"/>
    </row>
    <row r="124" spans="13:25" hidden="1">
      <c r="M124" s="306">
        <f t="shared" si="38"/>
        <v>14.876758227789455</v>
      </c>
      <c r="N124" s="307">
        <f t="shared" si="25"/>
        <v>14.876758227789455</v>
      </c>
      <c r="O124" s="308">
        <f t="shared" si="39"/>
        <v>0.25964841309808256</v>
      </c>
      <c r="P124" s="235">
        <f t="shared" si="40"/>
        <v>372.72298845803499</v>
      </c>
      <c r="Q124" s="236">
        <f t="shared" si="41"/>
        <v>330.04044985378158</v>
      </c>
      <c r="R124" s="236">
        <f t="shared" si="36"/>
        <v>69.978238545933067</v>
      </c>
      <c r="S124" s="237">
        <f t="shared" si="37"/>
        <v>13.496031918843538</v>
      </c>
      <c r="T124" s="238">
        <f t="shared" si="42"/>
        <v>-12.72298845803499</v>
      </c>
      <c r="U124" s="239">
        <f t="shared" si="43"/>
        <v>29.959550146218419</v>
      </c>
      <c r="V124" s="240">
        <f t="shared" si="44"/>
        <v>-69.978238545933067</v>
      </c>
      <c r="W124" s="240">
        <f t="shared" si="45"/>
        <v>-13.496031918843538</v>
      </c>
      <c r="X124" s="240"/>
      <c r="Y124" s="299"/>
    </row>
    <row r="125" spans="13:25" hidden="1">
      <c r="M125" s="306">
        <f t="shared" si="38"/>
        <v>14.561732890048118</v>
      </c>
      <c r="N125" s="307">
        <f t="shared" si="25"/>
        <v>14.561732890048118</v>
      </c>
      <c r="O125" s="308">
        <f t="shared" si="39"/>
        <v>0.25415018372728909</v>
      </c>
      <c r="P125" s="235">
        <f t="shared" si="40"/>
        <v>372.56575695790013</v>
      </c>
      <c r="Q125" s="236">
        <f t="shared" si="41"/>
        <v>330.19768135391644</v>
      </c>
      <c r="R125" s="236">
        <f t="shared" si="36"/>
        <v>69.848508392414942</v>
      </c>
      <c r="S125" s="237">
        <f t="shared" si="37"/>
        <v>13.625762072361667</v>
      </c>
      <c r="T125" s="238">
        <f t="shared" si="42"/>
        <v>-12.565756957900135</v>
      </c>
      <c r="U125" s="239">
        <f t="shared" si="43"/>
        <v>29.802318646083563</v>
      </c>
      <c r="V125" s="240">
        <f t="shared" si="44"/>
        <v>-69.848508392414942</v>
      </c>
      <c r="W125" s="240">
        <f t="shared" si="45"/>
        <v>-13.625762072361667</v>
      </c>
      <c r="X125" s="240"/>
      <c r="Y125" s="299"/>
    </row>
    <row r="126" spans="13:25" hidden="1">
      <c r="M126" s="306">
        <f t="shared" si="38"/>
        <v>14.246707552306781</v>
      </c>
      <c r="N126" s="307">
        <f t="shared" si="25"/>
        <v>14.246707552306781</v>
      </c>
      <c r="O126" s="308">
        <f t="shared" si="39"/>
        <v>0.24865195435649559</v>
      </c>
      <c r="P126" s="235">
        <f t="shared" si="40"/>
        <v>372.40282873490435</v>
      </c>
      <c r="Q126" s="236">
        <f t="shared" si="41"/>
        <v>330.36060957691222</v>
      </c>
      <c r="R126" s="236">
        <f t="shared" si="36"/>
        <v>69.714938688353456</v>
      </c>
      <c r="S126" s="237">
        <f t="shared" si="37"/>
        <v>13.759331776423151</v>
      </c>
      <c r="T126" s="238">
        <f t="shared" si="42"/>
        <v>-12.402828734904347</v>
      </c>
      <c r="U126" s="239">
        <f t="shared" si="43"/>
        <v>29.639390423087775</v>
      </c>
      <c r="V126" s="240">
        <f t="shared" si="44"/>
        <v>-69.714938688353456</v>
      </c>
      <c r="W126" s="240">
        <f t="shared" si="45"/>
        <v>-13.759331776423151</v>
      </c>
      <c r="X126" s="240"/>
      <c r="Y126" s="299"/>
    </row>
    <row r="127" spans="13:25" hidden="1">
      <c r="M127" s="306">
        <f t="shared" si="38"/>
        <v>13.931682214565443</v>
      </c>
      <c r="N127" s="307">
        <f t="shared" si="25"/>
        <v>13.931682214565443</v>
      </c>
      <c r="O127" s="308">
        <f t="shared" si="39"/>
        <v>0.24315372498570209</v>
      </c>
      <c r="P127" s="235">
        <f t="shared" si="40"/>
        <v>372.23408463541182</v>
      </c>
      <c r="Q127" s="236">
        <f t="shared" si="41"/>
        <v>330.52935367640475</v>
      </c>
      <c r="R127" s="236">
        <f t="shared" si="36"/>
        <v>69.577483802492694</v>
      </c>
      <c r="S127" s="237">
        <f t="shared" si="37"/>
        <v>13.896786662283914</v>
      </c>
      <c r="T127" s="238">
        <f t="shared" si="42"/>
        <v>-12.234084635411818</v>
      </c>
      <c r="U127" s="239">
        <f t="shared" si="43"/>
        <v>29.470646323595247</v>
      </c>
      <c r="V127" s="240">
        <f t="shared" si="44"/>
        <v>-69.577483802492694</v>
      </c>
      <c r="W127" s="240">
        <f t="shared" si="45"/>
        <v>-13.896786662283914</v>
      </c>
      <c r="X127" s="240"/>
      <c r="Y127" s="299"/>
    </row>
    <row r="128" spans="13:25" hidden="1">
      <c r="M128" s="306">
        <f t="shared" si="38"/>
        <v>13.616656876824106</v>
      </c>
      <c r="N128" s="307">
        <f t="shared" si="25"/>
        <v>13.616656876824106</v>
      </c>
      <c r="O128" s="308">
        <f t="shared" si="39"/>
        <v>0.23765549561490859</v>
      </c>
      <c r="P128" s="235">
        <f t="shared" si="40"/>
        <v>372.05939612293173</v>
      </c>
      <c r="Q128" s="236">
        <f t="shared" si="41"/>
        <v>330.70404218888484</v>
      </c>
      <c r="R128" s="236">
        <f t="shared" si="36"/>
        <v>69.436095109946422</v>
      </c>
      <c r="S128" s="237">
        <f t="shared" si="37"/>
        <v>14.038175354830189</v>
      </c>
      <c r="T128" s="238">
        <f t="shared" si="42"/>
        <v>-12.05939612293173</v>
      </c>
      <c r="U128" s="239">
        <f t="shared" si="43"/>
        <v>29.295957811115159</v>
      </c>
      <c r="V128" s="240">
        <f t="shared" si="44"/>
        <v>-69.436095109946422</v>
      </c>
      <c r="W128" s="240">
        <f t="shared" si="45"/>
        <v>-14.038175354830189</v>
      </c>
      <c r="X128" s="240"/>
      <c r="Y128" s="299"/>
    </row>
    <row r="129" spans="13:25" hidden="1">
      <c r="M129" s="306">
        <f t="shared" si="38"/>
        <v>13.301631539082768</v>
      </c>
      <c r="N129" s="307">
        <f t="shared" si="25"/>
        <v>13.301631539082768</v>
      </c>
      <c r="O129" s="308">
        <f t="shared" si="39"/>
        <v>0.23215726624411509</v>
      </c>
      <c r="P129" s="235">
        <f t="shared" si="40"/>
        <v>371.87862452951714</v>
      </c>
      <c r="Q129" s="236">
        <f t="shared" si="41"/>
        <v>330.88481378229943</v>
      </c>
      <c r="R129" s="236">
        <f t="shared" si="36"/>
        <v>69.290720853166064</v>
      </c>
      <c r="S129" s="237">
        <f t="shared" si="37"/>
        <v>14.183549611610534</v>
      </c>
      <c r="T129" s="238">
        <f t="shared" si="42"/>
        <v>-11.87862452951714</v>
      </c>
      <c r="U129" s="239">
        <f t="shared" si="43"/>
        <v>29.115186217700568</v>
      </c>
      <c r="V129" s="240">
        <f t="shared" si="44"/>
        <v>-69.290720853166064</v>
      </c>
      <c r="W129" s="240">
        <f t="shared" si="45"/>
        <v>-14.183549611610534</v>
      </c>
      <c r="X129" s="240"/>
      <c r="Y129" s="299"/>
    </row>
    <row r="130" spans="13:25" hidden="1">
      <c r="M130" s="306">
        <f t="shared" si="38"/>
        <v>12.986606201341431</v>
      </c>
      <c r="N130" s="307">
        <f t="shared" si="25"/>
        <v>12.986606201341431</v>
      </c>
      <c r="O130" s="308">
        <f t="shared" si="39"/>
        <v>0.22665903687332162</v>
      </c>
      <c r="P130" s="235">
        <f t="shared" si="40"/>
        <v>371.69162021559328</v>
      </c>
      <c r="Q130" s="236">
        <f t="shared" si="41"/>
        <v>331.07181809622324</v>
      </c>
      <c r="R130" s="236">
        <f t="shared" si="36"/>
        <v>69.141305990818211</v>
      </c>
      <c r="S130" s="237">
        <f t="shared" si="37"/>
        <v>14.332964473958398</v>
      </c>
      <c r="T130" s="238">
        <f t="shared" si="42"/>
        <v>-11.691620215593275</v>
      </c>
      <c r="U130" s="239">
        <f t="shared" si="43"/>
        <v>28.92818190377676</v>
      </c>
      <c r="V130" s="240">
        <f t="shared" si="44"/>
        <v>-69.141305990818211</v>
      </c>
      <c r="W130" s="240">
        <f t="shared" si="45"/>
        <v>-14.332964473958398</v>
      </c>
      <c r="X130" s="240"/>
      <c r="Y130" s="299"/>
    </row>
    <row r="131" spans="13:25" hidden="1">
      <c r="M131" s="306">
        <f t="shared" si="38"/>
        <v>12.671580863600093</v>
      </c>
      <c r="N131" s="307">
        <f t="shared" si="25"/>
        <v>12.671580863600093</v>
      </c>
      <c r="O131" s="308">
        <f t="shared" si="39"/>
        <v>0.22116080750252812</v>
      </c>
      <c r="P131" s="235">
        <f t="shared" si="40"/>
        <v>371.49822162481234</v>
      </c>
      <c r="Q131" s="236">
        <f t="shared" si="41"/>
        <v>331.26521668700423</v>
      </c>
      <c r="R131" s="236">
        <f t="shared" si="36"/>
        <v>68.987792033460366</v>
      </c>
      <c r="S131" s="237">
        <f t="shared" si="37"/>
        <v>14.486478431316236</v>
      </c>
      <c r="T131" s="238">
        <f t="shared" si="42"/>
        <v>-11.498221624812345</v>
      </c>
      <c r="U131" s="239">
        <f t="shared" si="43"/>
        <v>28.734783312995773</v>
      </c>
      <c r="V131" s="240">
        <f t="shared" si="44"/>
        <v>-68.987792033460366</v>
      </c>
      <c r="W131" s="240">
        <f t="shared" si="45"/>
        <v>-14.486478431316236</v>
      </c>
      <c r="X131" s="240"/>
      <c r="Y131" s="299"/>
    </row>
    <row r="132" spans="13:25" hidden="1">
      <c r="M132" s="306">
        <f t="shared" si="38"/>
        <v>12.356555525858756</v>
      </c>
      <c r="N132" s="307">
        <f t="shared" si="25"/>
        <v>12.356555525858756</v>
      </c>
      <c r="O132" s="308">
        <f t="shared" si="39"/>
        <v>0.21566257813173462</v>
      </c>
      <c r="P132" s="235">
        <f t="shared" si="40"/>
        <v>371.29825421809699</v>
      </c>
      <c r="Q132" s="236">
        <f t="shared" si="41"/>
        <v>331.46518409371959</v>
      </c>
      <c r="R132" s="236">
        <f t="shared" si="36"/>
        <v>68.83011686477154</v>
      </c>
      <c r="S132" s="237">
        <f t="shared" si="37"/>
        <v>14.644153600005065</v>
      </c>
      <c r="T132" s="238">
        <f t="shared" si="42"/>
        <v>-11.298254218096986</v>
      </c>
      <c r="U132" s="239">
        <f t="shared" si="43"/>
        <v>28.534815906280414</v>
      </c>
      <c r="V132" s="240">
        <f t="shared" si="44"/>
        <v>-68.83011686477154</v>
      </c>
      <c r="W132" s="240">
        <f t="shared" si="45"/>
        <v>-14.644153600005065</v>
      </c>
      <c r="X132" s="240"/>
      <c r="Y132" s="299"/>
    </row>
    <row r="133" spans="13:25" hidden="1">
      <c r="M133" s="306">
        <f t="shared" si="38"/>
        <v>12.041530188117418</v>
      </c>
      <c r="N133" s="307">
        <f t="shared" si="25"/>
        <v>12.041530188117418</v>
      </c>
      <c r="O133" s="308">
        <f t="shared" si="39"/>
        <v>0.21016434876094112</v>
      </c>
      <c r="P133" s="235">
        <f t="shared" si="40"/>
        <v>371.09152926807991</v>
      </c>
      <c r="Q133" s="236">
        <f t="shared" si="41"/>
        <v>331.6719090437366</v>
      </c>
      <c r="R133" s="236">
        <f t="shared" si="36"/>
        <v>68.668214546941655</v>
      </c>
      <c r="S133" s="237">
        <f t="shared" si="37"/>
        <v>14.806055917834948</v>
      </c>
      <c r="T133" s="238">
        <f t="shared" si="42"/>
        <v>-11.09152926807991</v>
      </c>
      <c r="U133" s="239">
        <f t="shared" si="43"/>
        <v>28.328090956263395</v>
      </c>
      <c r="V133" s="240">
        <f t="shared" si="44"/>
        <v>-68.668214546941655</v>
      </c>
      <c r="W133" s="240">
        <f t="shared" si="45"/>
        <v>-14.806055917834948</v>
      </c>
      <c r="X133" s="240"/>
      <c r="Y133" s="299"/>
    </row>
    <row r="134" spans="13:25" hidden="1">
      <c r="M134" s="306">
        <f t="shared" si="38"/>
        <v>11.726504850376081</v>
      </c>
      <c r="N134" s="307">
        <f t="shared" si="25"/>
        <v>11.726504850376081</v>
      </c>
      <c r="O134" s="308">
        <f t="shared" si="39"/>
        <v>0.20466611939014762</v>
      </c>
      <c r="P134" s="235">
        <f t="shared" si="40"/>
        <v>370.87784249153384</v>
      </c>
      <c r="Q134" s="236">
        <f t="shared" si="41"/>
        <v>331.88559582028267</v>
      </c>
      <c r="R134" s="236">
        <f t="shared" si="36"/>
        <v>68.502015108652927</v>
      </c>
      <c r="S134" s="237">
        <f t="shared" si="37"/>
        <v>14.972255356123675</v>
      </c>
      <c r="T134" s="238">
        <f t="shared" si="42"/>
        <v>-10.877842491533841</v>
      </c>
      <c r="U134" s="239">
        <f t="shared" si="43"/>
        <v>28.114404179717326</v>
      </c>
      <c r="V134" s="240">
        <f t="shared" si="44"/>
        <v>-68.502015108652927</v>
      </c>
      <c r="W134" s="240">
        <f t="shared" si="45"/>
        <v>-14.972255356123675</v>
      </c>
      <c r="X134" s="240"/>
      <c r="Y134" s="299"/>
    </row>
    <row r="135" spans="13:25" hidden="1">
      <c r="M135" s="306">
        <f t="shared" si="38"/>
        <v>11.411479512634743</v>
      </c>
      <c r="N135" s="307">
        <f t="shared" si="25"/>
        <v>11.411479512634743</v>
      </c>
      <c r="O135" s="308">
        <f t="shared" si="39"/>
        <v>0.19916789001935414</v>
      </c>
      <c r="P135" s="235">
        <f t="shared" si="40"/>
        <v>370.65697249295499</v>
      </c>
      <c r="Q135" s="236">
        <f t="shared" si="41"/>
        <v>332.10646581886158</v>
      </c>
      <c r="R135" s="236">
        <f t="shared" si="36"/>
        <v>68.331444313889151</v>
      </c>
      <c r="S135" s="237">
        <f t="shared" si="37"/>
        <v>15.142826150887451</v>
      </c>
      <c r="T135" s="238">
        <f t="shared" si="42"/>
        <v>-10.656972492954992</v>
      </c>
      <c r="U135" s="239">
        <f t="shared" si="43"/>
        <v>27.893534181138421</v>
      </c>
      <c r="V135" s="240">
        <f t="shared" si="44"/>
        <v>-68.331444313889151</v>
      </c>
      <c r="W135" s="240">
        <f t="shared" si="45"/>
        <v>-15.142826150887451</v>
      </c>
      <c r="X135" s="240"/>
      <c r="Y135" s="299"/>
    </row>
    <row r="136" spans="13:25" hidden="1">
      <c r="M136" s="306">
        <f t="shared" si="38"/>
        <v>11.096454174893406</v>
      </c>
      <c r="N136" s="307">
        <f t="shared" ref="N136:N193" si="46">N135-step</f>
        <v>11.096454174893406</v>
      </c>
      <c r="O136" s="308">
        <f t="shared" si="39"/>
        <v>0.19366966064856064</v>
      </c>
      <c r="P136" s="235">
        <f t="shared" si="40"/>
        <v>370.42867898698887</v>
      </c>
      <c r="Q136" s="236">
        <f t="shared" si="41"/>
        <v>332.33475932482764</v>
      </c>
      <c r="R136" s="236">
        <f t="shared" ref="R136:R167" si="47">IFERROR(DEGREES(grt_+ACOS((SIN(h_)-SIN(d_)*SIN(O136))/COS(d_)/COS(O136))),#N/A)</f>
        <v>68.156423409583198</v>
      </c>
      <c r="S136" s="237">
        <f t="shared" ref="S136:S167" si="48">IFERROR(DEGREES(grt_-ACOS((SIN(h_)-SIN(d_)*SIN(O136))/COS(d_)/COS(O136))),#N/A)</f>
        <v>15.317847055193411</v>
      </c>
      <c r="T136" s="238">
        <f t="shared" si="42"/>
        <v>-10.428678986988871</v>
      </c>
      <c r="U136" s="239">
        <f t="shared" si="43"/>
        <v>27.665240675172356</v>
      </c>
      <c r="V136" s="240">
        <f t="shared" si="44"/>
        <v>-68.156423409583198</v>
      </c>
      <c r="W136" s="240">
        <f t="shared" si="45"/>
        <v>-15.317847055193411</v>
      </c>
      <c r="X136" s="240"/>
      <c r="Y136" s="299"/>
    </row>
    <row r="137" spans="13:25" hidden="1">
      <c r="M137" s="306">
        <f t="shared" si="38"/>
        <v>10.781428837152069</v>
      </c>
      <c r="N137" s="307">
        <f t="shared" si="46"/>
        <v>10.781428837152069</v>
      </c>
      <c r="O137" s="308">
        <f t="shared" si="39"/>
        <v>0.18817143127776714</v>
      </c>
      <c r="P137" s="235">
        <f t="shared" si="40"/>
        <v>370.19270076058211</v>
      </c>
      <c r="Q137" s="236">
        <f t="shared" si="41"/>
        <v>332.57073755123446</v>
      </c>
      <c r="R137" s="236">
        <f t="shared" si="47"/>
        <v>67.976868849855506</v>
      </c>
      <c r="S137" s="237">
        <f t="shared" si="48"/>
        <v>15.497401614921095</v>
      </c>
      <c r="T137" s="238">
        <f t="shared" si="42"/>
        <v>-10.192700760582113</v>
      </c>
      <c r="U137" s="239">
        <f t="shared" si="43"/>
        <v>27.429262448765542</v>
      </c>
      <c r="V137" s="240">
        <f t="shared" si="44"/>
        <v>-67.976868849855506</v>
      </c>
      <c r="W137" s="240">
        <f t="shared" si="45"/>
        <v>-15.497401614921095</v>
      </c>
      <c r="X137" s="240"/>
      <c r="Y137" s="299"/>
    </row>
    <row r="138" spans="13:25" hidden="1">
      <c r="M138" s="306">
        <f t="shared" si="38"/>
        <v>10.466403499410731</v>
      </c>
      <c r="N138" s="307">
        <f t="shared" si="46"/>
        <v>10.466403499410731</v>
      </c>
      <c r="O138" s="308">
        <f t="shared" si="39"/>
        <v>0.18267320190697364</v>
      </c>
      <c r="P138" s="235">
        <f t="shared" si="40"/>
        <v>369.94875332722944</v>
      </c>
      <c r="Q138" s="236">
        <f t="shared" si="41"/>
        <v>332.81468498458713</v>
      </c>
      <c r="R138" s="236">
        <f t="shared" si="47"/>
        <v>67.792691994298266</v>
      </c>
      <c r="S138" s="237">
        <f t="shared" si="48"/>
        <v>15.681578470478332</v>
      </c>
      <c r="T138" s="238">
        <f t="shared" si="42"/>
        <v>-9.9487533272294399</v>
      </c>
      <c r="U138" s="239">
        <f t="shared" si="43"/>
        <v>27.185315015412868</v>
      </c>
      <c r="V138" s="240">
        <f t="shared" si="44"/>
        <v>-67.792691994298266</v>
      </c>
      <c r="W138" s="240">
        <f t="shared" si="45"/>
        <v>-15.681578470478332</v>
      </c>
      <c r="X138" s="240"/>
      <c r="Y138" s="299"/>
    </row>
    <row r="139" spans="13:25" hidden="1">
      <c r="M139" s="306">
        <f t="shared" si="38"/>
        <v>10.151378161669394</v>
      </c>
      <c r="N139" s="307">
        <f t="shared" si="46"/>
        <v>10.151378161669394</v>
      </c>
      <c r="O139" s="308">
        <f t="shared" si="39"/>
        <v>0.17717497253618014</v>
      </c>
      <c r="P139" s="235">
        <f t="shared" si="40"/>
        <v>369.69652621496488</v>
      </c>
      <c r="Q139" s="236">
        <f t="shared" si="41"/>
        <v>333.06691209685164</v>
      </c>
      <c r="R139" s="236">
        <f t="shared" si="47"/>
        <v>67.603798777416344</v>
      </c>
      <c r="S139" s="237">
        <f t="shared" si="48"/>
        <v>15.870471687360267</v>
      </c>
      <c r="T139" s="238">
        <f t="shared" si="42"/>
        <v>-9.6965262149648765</v>
      </c>
      <c r="U139" s="239">
        <f t="shared" si="43"/>
        <v>26.933087903148362</v>
      </c>
      <c r="V139" s="240">
        <f t="shared" si="44"/>
        <v>-67.603798777416344</v>
      </c>
      <c r="W139" s="240">
        <f t="shared" si="45"/>
        <v>-15.870471687360267</v>
      </c>
      <c r="X139" s="240"/>
      <c r="Y139" s="299"/>
    </row>
    <row r="140" spans="13:25" hidden="1">
      <c r="M140" s="306">
        <f t="shared" si="38"/>
        <v>9.8363528239280562</v>
      </c>
      <c r="N140" s="307">
        <f t="shared" si="46"/>
        <v>9.8363528239280562</v>
      </c>
      <c r="O140" s="308">
        <f t="shared" si="39"/>
        <v>0.17167674316538664</v>
      </c>
      <c r="P140" s="235">
        <f t="shared" si="40"/>
        <v>369.43567981612898</v>
      </c>
      <c r="Q140" s="236">
        <f t="shared" si="41"/>
        <v>333.32775849568759</v>
      </c>
      <c r="R140" s="236">
        <f t="shared" si="47"/>
        <v>67.410089345938601</v>
      </c>
      <c r="S140" s="237">
        <f t="shared" si="48"/>
        <v>16.064181118838004</v>
      </c>
      <c r="T140" s="238">
        <f t="shared" si="42"/>
        <v>-9.4356798161289817</v>
      </c>
      <c r="U140" s="239">
        <f t="shared" si="43"/>
        <v>26.67224150431241</v>
      </c>
      <c r="V140" s="240">
        <f t="shared" si="44"/>
        <v>-67.410089345938601</v>
      </c>
      <c r="W140" s="240">
        <f t="shared" si="45"/>
        <v>-16.064181118838004</v>
      </c>
      <c r="X140" s="240"/>
      <c r="Y140" s="299"/>
    </row>
    <row r="141" spans="13:25" hidden="1">
      <c r="M141" s="306">
        <f t="shared" si="38"/>
        <v>9.5213274861867188</v>
      </c>
      <c r="N141" s="307">
        <f t="shared" si="46"/>
        <v>9.5213274861867188</v>
      </c>
      <c r="O141" s="308">
        <f t="shared" si="39"/>
        <v>0.16617851379459317</v>
      </c>
      <c r="P141" s="235">
        <f t="shared" si="40"/>
        <v>369.16584170953178</v>
      </c>
      <c r="Q141" s="236">
        <f t="shared" si="41"/>
        <v>333.5975966022848</v>
      </c>
      <c r="R141" s="236">
        <f t="shared" si="47"/>
        <v>67.211457660251639</v>
      </c>
      <c r="S141" s="237">
        <f t="shared" si="48"/>
        <v>16.262812804524962</v>
      </c>
      <c r="T141" s="238">
        <f t="shared" si="42"/>
        <v>-9.1658417095317759</v>
      </c>
      <c r="U141" s="239">
        <f t="shared" si="43"/>
        <v>26.402403397715204</v>
      </c>
      <c r="V141" s="240">
        <f t="shared" si="44"/>
        <v>-67.211457660251639</v>
      </c>
      <c r="W141" s="240">
        <f t="shared" si="45"/>
        <v>-16.262812804524962</v>
      </c>
      <c r="X141" s="240"/>
      <c r="Y141" s="299"/>
    </row>
    <row r="142" spans="13:25" hidden="1">
      <c r="M142" s="306">
        <f t="shared" si="38"/>
        <v>9.2063021484453813</v>
      </c>
      <c r="N142" s="307">
        <f t="shared" si="46"/>
        <v>9.2063021484453813</v>
      </c>
      <c r="O142" s="308">
        <f t="shared" si="39"/>
        <v>0.16068028442379967</v>
      </c>
      <c r="P142" s="235">
        <f t="shared" si="40"/>
        <v>368.88660234316018</v>
      </c>
      <c r="Q142" s="236">
        <f t="shared" si="41"/>
        <v>333.87683596865639</v>
      </c>
      <c r="R142" s="236">
        <f t="shared" si="47"/>
        <v>67.007791055669216</v>
      </c>
      <c r="S142" s="237">
        <f t="shared" si="48"/>
        <v>16.466479409107386</v>
      </c>
      <c r="T142" s="238">
        <f t="shared" si="42"/>
        <v>-8.8866023431601775</v>
      </c>
      <c r="U142" s="239">
        <f t="shared" si="43"/>
        <v>26.123164031343606</v>
      </c>
      <c r="V142" s="240">
        <f t="shared" si="44"/>
        <v>-67.007791055669216</v>
      </c>
      <c r="W142" s="240">
        <f t="shared" si="45"/>
        <v>-16.466479409107386</v>
      </c>
      <c r="X142" s="240"/>
      <c r="Y142" s="299"/>
    </row>
    <row r="143" spans="13:25" hidden="1">
      <c r="M143" s="306">
        <f t="shared" si="38"/>
        <v>8.8912768107040439</v>
      </c>
      <c r="N143" s="307">
        <f t="shared" si="46"/>
        <v>8.8912768107040439</v>
      </c>
      <c r="O143" s="308">
        <f t="shared" si="39"/>
        <v>0.15518205505300617</v>
      </c>
      <c r="P143" s="235">
        <f t="shared" si="40"/>
        <v>368.5975099363194</v>
      </c>
      <c r="Q143" s="236">
        <f t="shared" si="41"/>
        <v>334.16592837549717</v>
      </c>
      <c r="R143" s="236">
        <f t="shared" si="47"/>
        <v>66.798969758622391</v>
      </c>
      <c r="S143" s="237">
        <f t="shared" si="48"/>
        <v>16.675300706154214</v>
      </c>
      <c r="T143" s="238">
        <f t="shared" si="42"/>
        <v>-8.5975099363193976</v>
      </c>
      <c r="U143" s="239">
        <f t="shared" si="43"/>
        <v>25.834071624502826</v>
      </c>
      <c r="V143" s="240">
        <f t="shared" si="44"/>
        <v>-66.798969758622391</v>
      </c>
      <c r="W143" s="240">
        <f t="shared" si="45"/>
        <v>-16.675300706154214</v>
      </c>
      <c r="X143" s="240"/>
      <c r="Y143" s="299"/>
    </row>
    <row r="144" spans="13:25" hidden="1">
      <c r="M144" s="306">
        <f t="shared" si="38"/>
        <v>8.5762514729627064</v>
      </c>
      <c r="N144" s="307">
        <f t="shared" si="46"/>
        <v>8.5762514729627064</v>
      </c>
      <c r="O144" s="308">
        <f t="shared" si="39"/>
        <v>0.14968382568221267</v>
      </c>
      <c r="P144" s="235">
        <f t="shared" si="40"/>
        <v>368.29806442163107</v>
      </c>
      <c r="Q144" s="236">
        <f t="shared" si="41"/>
        <v>334.46537389018545</v>
      </c>
      <c r="R144" s="236">
        <f t="shared" si="47"/>
        <v>66.584866352118183</v>
      </c>
      <c r="S144" s="237">
        <f t="shared" si="48"/>
        <v>16.889404112658418</v>
      </c>
      <c r="T144" s="238">
        <f t="shared" si="42"/>
        <v>-8.2980644216310679</v>
      </c>
      <c r="U144" s="239">
        <f t="shared" si="43"/>
        <v>25.534626109814553</v>
      </c>
      <c r="V144" s="240">
        <f t="shared" si="44"/>
        <v>-66.584866352118183</v>
      </c>
      <c r="W144" s="240">
        <f t="shared" si="45"/>
        <v>-16.889404112658418</v>
      </c>
      <c r="X144" s="240"/>
      <c r="Y144" s="299"/>
    </row>
    <row r="145" spans="13:25" hidden="1">
      <c r="M145" s="306">
        <f t="shared" si="38"/>
        <v>8.2612261352213689</v>
      </c>
      <c r="N145" s="307">
        <f t="shared" si="46"/>
        <v>8.2612261352213689</v>
      </c>
      <c r="O145" s="308">
        <f t="shared" si="39"/>
        <v>0.14418559631141917</v>
      </c>
      <c r="P145" s="235">
        <f t="shared" si="40"/>
        <v>367.98771019619471</v>
      </c>
      <c r="Q145" s="236">
        <f t="shared" si="41"/>
        <v>334.77572811562186</v>
      </c>
      <c r="R145" s="236">
        <f t="shared" si="47"/>
        <v>66.365345183945763</v>
      </c>
      <c r="S145" s="237">
        <f t="shared" si="48"/>
        <v>17.108925280830846</v>
      </c>
      <c r="T145" s="238">
        <f t="shared" si="42"/>
        <v>-7.9877101961947119</v>
      </c>
      <c r="U145" s="239">
        <f t="shared" si="43"/>
        <v>25.22427188437814</v>
      </c>
      <c r="V145" s="240">
        <f t="shared" si="44"/>
        <v>-66.365345183945763</v>
      </c>
      <c r="W145" s="240">
        <f t="shared" si="45"/>
        <v>-17.108925280830846</v>
      </c>
      <c r="X145" s="240"/>
      <c r="Y145" s="299"/>
    </row>
    <row r="146" spans="13:25" hidden="1">
      <c r="M146" s="306">
        <f t="shared" si="38"/>
        <v>7.9462007974800315</v>
      </c>
      <c r="N146" s="307">
        <f t="shared" si="46"/>
        <v>7.9462007974800315</v>
      </c>
      <c r="O146" s="308">
        <f t="shared" si="39"/>
        <v>0.13868736694062569</v>
      </c>
      <c r="P146" s="235">
        <f t="shared" si="40"/>
        <v>367.66582738252589</v>
      </c>
      <c r="Q146" s="236">
        <f t="shared" si="41"/>
        <v>335.09761092929068</v>
      </c>
      <c r="R146" s="236">
        <f t="shared" si="47"/>
        <v>66.140261710084687</v>
      </c>
      <c r="S146" s="237">
        <f t="shared" si="48"/>
        <v>17.334008754691911</v>
      </c>
      <c r="T146" s="238">
        <f t="shared" si="42"/>
        <v>-7.6658273825258902</v>
      </c>
      <c r="U146" s="239">
        <f t="shared" si="43"/>
        <v>24.902389070709319</v>
      </c>
      <c r="V146" s="240">
        <f t="shared" si="44"/>
        <v>-66.140261710084687</v>
      </c>
      <c r="W146" s="240">
        <f t="shared" si="45"/>
        <v>-17.334008754691911</v>
      </c>
      <c r="X146" s="240"/>
      <c r="Y146" s="299"/>
    </row>
    <row r="147" spans="13:25" hidden="1">
      <c r="M147" s="306">
        <f t="shared" si="38"/>
        <v>7.631175459738694</v>
      </c>
      <c r="N147" s="307">
        <f t="shared" si="46"/>
        <v>7.631175459738694</v>
      </c>
      <c r="O147" s="308">
        <f t="shared" si="39"/>
        <v>0.13318913756983219</v>
      </c>
      <c r="P147" s="235">
        <f t="shared" si="40"/>
        <v>367.33172120642757</v>
      </c>
      <c r="Q147" s="236">
        <f t="shared" si="41"/>
        <v>335.431717105389</v>
      </c>
      <c r="R147" s="236">
        <f t="shared" si="47"/>
        <v>65.909461764554848</v>
      </c>
      <c r="S147" s="237">
        <f t="shared" si="48"/>
        <v>17.564808700221764</v>
      </c>
      <c r="T147" s="238">
        <f t="shared" si="42"/>
        <v>-7.3317212064275736</v>
      </c>
      <c r="U147" s="239">
        <f t="shared" si="43"/>
        <v>24.568282894611002</v>
      </c>
      <c r="V147" s="240">
        <f t="shared" si="44"/>
        <v>-65.909461764554848</v>
      </c>
      <c r="W147" s="240">
        <f t="shared" si="45"/>
        <v>-17.564808700221764</v>
      </c>
      <c r="X147" s="240"/>
      <c r="Y147" s="299"/>
    </row>
    <row r="148" spans="13:25" hidden="1">
      <c r="M148" s="306">
        <f t="shared" si="38"/>
        <v>7.3161501219973566</v>
      </c>
      <c r="N148" s="307">
        <f t="shared" si="46"/>
        <v>7.3161501219973566</v>
      </c>
      <c r="O148" s="308">
        <f t="shared" si="39"/>
        <v>0.12769090819903869</v>
      </c>
      <c r="P148" s="235">
        <f t="shared" si="40"/>
        <v>366.98460897007817</v>
      </c>
      <c r="Q148" s="236">
        <f t="shared" si="41"/>
        <v>335.7788293417384</v>
      </c>
      <c r="R148" s="236">
        <f t="shared" si="47"/>
        <v>65.6727807454985</v>
      </c>
      <c r="S148" s="237">
        <f t="shared" si="48"/>
        <v>17.801489719278099</v>
      </c>
      <c r="T148" s="238">
        <f t="shared" si="42"/>
        <v>-6.9846089700781704</v>
      </c>
      <c r="U148" s="239">
        <f t="shared" si="43"/>
        <v>24.221170658261599</v>
      </c>
      <c r="V148" s="240">
        <f t="shared" si="44"/>
        <v>-65.6727807454985</v>
      </c>
      <c r="W148" s="240">
        <f t="shared" si="45"/>
        <v>-17.801489719278099</v>
      </c>
      <c r="X148" s="240"/>
      <c r="Y148" s="299"/>
    </row>
    <row r="149" spans="13:25" hidden="1">
      <c r="M149" s="306">
        <f t="shared" si="38"/>
        <v>7.0011247842560191</v>
      </c>
      <c r="N149" s="307">
        <f t="shared" si="46"/>
        <v>7.0011247842560191</v>
      </c>
      <c r="O149" s="308">
        <f t="shared" si="39"/>
        <v>0.12219267882824519</v>
      </c>
      <c r="P149" s="235">
        <f t="shared" si="40"/>
        <v>366.62360391831186</v>
      </c>
      <c r="Q149" s="236">
        <f t="shared" si="41"/>
        <v>336.13983439350471</v>
      </c>
      <c r="R149" s="236">
        <f t="shared" si="47"/>
        <v>65.430042705557312</v>
      </c>
      <c r="S149" s="237">
        <f t="shared" si="48"/>
        <v>18.044227759219286</v>
      </c>
      <c r="T149" s="238">
        <f t="shared" si="42"/>
        <v>-6.6236039183118578</v>
      </c>
      <c r="U149" s="239">
        <f t="shared" si="43"/>
        <v>23.860165606495286</v>
      </c>
      <c r="V149" s="240">
        <f t="shared" si="44"/>
        <v>-65.430042705557312</v>
      </c>
      <c r="W149" s="240">
        <f t="shared" si="45"/>
        <v>-18.044227759219286</v>
      </c>
      <c r="X149" s="240"/>
      <c r="Y149" s="299"/>
    </row>
    <row r="150" spans="13:25" hidden="1">
      <c r="M150" s="306">
        <f t="shared" si="38"/>
        <v>6.6860994465146817</v>
      </c>
      <c r="N150" s="307">
        <f t="shared" si="46"/>
        <v>6.6860994465146817</v>
      </c>
      <c r="O150" s="308">
        <f t="shared" si="39"/>
        <v>0.11669444945745171</v>
      </c>
      <c r="P150" s="235">
        <f t="shared" si="40"/>
        <v>366.24769503970805</v>
      </c>
      <c r="Q150" s="236">
        <f t="shared" si="41"/>
        <v>336.51574327210847</v>
      </c>
      <c r="R150" s="236">
        <f t="shared" si="47"/>
        <v>65.181059332526857</v>
      </c>
      <c r="S150" s="237">
        <f t="shared" si="48"/>
        <v>18.293211132249748</v>
      </c>
      <c r="T150" s="238">
        <f t="shared" si="42"/>
        <v>-6.2476950397080486</v>
      </c>
      <c r="U150" s="239">
        <f t="shared" si="43"/>
        <v>23.484256727891534</v>
      </c>
      <c r="V150" s="240">
        <f t="shared" si="44"/>
        <v>-65.181059332526857</v>
      </c>
      <c r="W150" s="240">
        <f t="shared" si="45"/>
        <v>-18.293211132249748</v>
      </c>
      <c r="X150" s="240"/>
      <c r="Y150" s="299"/>
    </row>
    <row r="151" spans="13:25" hidden="1">
      <c r="M151" s="306">
        <f t="shared" si="38"/>
        <v>6.3710741087733442</v>
      </c>
      <c r="N151" s="307">
        <f t="shared" si="46"/>
        <v>6.3710741087733442</v>
      </c>
      <c r="O151" s="308">
        <f t="shared" si="39"/>
        <v>0.11119622008665821</v>
      </c>
      <c r="P151" s="235">
        <f t="shared" si="40"/>
        <v>365.85572147313439</v>
      </c>
      <c r="Q151" s="236">
        <f t="shared" si="41"/>
        <v>336.90771683868212</v>
      </c>
      <c r="R151" s="236">
        <f t="shared" si="47"/>
        <v>64.925628803766784</v>
      </c>
      <c r="S151" s="237">
        <f t="shared" si="48"/>
        <v>18.548641661009817</v>
      </c>
      <c r="T151" s="238">
        <f t="shared" si="42"/>
        <v>-5.8557214731343947</v>
      </c>
      <c r="U151" s="239">
        <f t="shared" si="43"/>
        <v>23.09228316131788</v>
      </c>
      <c r="V151" s="240">
        <f t="shared" si="44"/>
        <v>-64.925628803766784</v>
      </c>
      <c r="W151" s="240">
        <f t="shared" si="45"/>
        <v>-18.548641661009817</v>
      </c>
      <c r="X151" s="240"/>
      <c r="Y151" s="299"/>
    </row>
    <row r="152" spans="13:25" hidden="1">
      <c r="M152" s="306">
        <f t="shared" si="38"/>
        <v>6.0560487710320068</v>
      </c>
      <c r="N152" s="307">
        <f t="shared" si="46"/>
        <v>6.0560487710320068</v>
      </c>
      <c r="O152" s="308">
        <f t="shared" si="39"/>
        <v>0.10569799071586471</v>
      </c>
      <c r="P152" s="235">
        <f t="shared" si="40"/>
        <v>365.44633964298259</v>
      </c>
      <c r="Q152" s="236">
        <f t="shared" si="41"/>
        <v>337.31709866883398</v>
      </c>
      <c r="R152" s="236">
        <f t="shared" si="47"/>
        <v>64.663534494804324</v>
      </c>
      <c r="S152" s="237">
        <f t="shared" si="48"/>
        <v>18.810735969972278</v>
      </c>
      <c r="T152" s="238">
        <f t="shared" si="42"/>
        <v>-5.4463396429825934</v>
      </c>
      <c r="U152" s="239">
        <f t="shared" si="43"/>
        <v>22.682901331166022</v>
      </c>
      <c r="V152" s="240">
        <f t="shared" si="44"/>
        <v>-64.663534494804324</v>
      </c>
      <c r="W152" s="240">
        <f t="shared" si="45"/>
        <v>-18.810735969972278</v>
      </c>
      <c r="X152" s="240"/>
      <c r="Y152" s="299"/>
    </row>
    <row r="153" spans="13:25" hidden="1">
      <c r="M153" s="306">
        <f t="shared" si="38"/>
        <v>5.7410234332906693</v>
      </c>
      <c r="N153" s="307">
        <f t="shared" si="46"/>
        <v>5.7410234332906693</v>
      </c>
      <c r="O153" s="308">
        <f t="shared" si="39"/>
        <v>0.10019976134507122</v>
      </c>
      <c r="P153" s="235">
        <f t="shared" si="40"/>
        <v>365.0179804208193</v>
      </c>
      <c r="Q153" s="236">
        <f t="shared" si="41"/>
        <v>337.74545789099727</v>
      </c>
      <c r="R153" s="236">
        <f t="shared" si="47"/>
        <v>64.394543518866357</v>
      </c>
      <c r="S153" s="237">
        <f t="shared" si="48"/>
        <v>19.079726945910252</v>
      </c>
      <c r="T153" s="238">
        <f t="shared" si="42"/>
        <v>-5.0179804208192991</v>
      </c>
      <c r="U153" s="239">
        <f t="shared" si="43"/>
        <v>22.254542109002728</v>
      </c>
      <c r="V153" s="240">
        <f t="shared" si="44"/>
        <v>-64.394543518866357</v>
      </c>
      <c r="W153" s="240">
        <f t="shared" si="45"/>
        <v>-19.079726945910252</v>
      </c>
      <c r="X153" s="240"/>
      <c r="Y153" s="299"/>
    </row>
    <row r="154" spans="13:25" hidden="1">
      <c r="M154" s="306">
        <f t="shared" si="38"/>
        <v>5.4259980955493319</v>
      </c>
      <c r="N154" s="307">
        <f t="shared" si="46"/>
        <v>5.4259980955493319</v>
      </c>
      <c r="O154" s="308">
        <f t="shared" si="39"/>
        <v>9.470153197427772E-2</v>
      </c>
      <c r="P154" s="235">
        <f t="shared" si="40"/>
        <v>364.56879233556452</v>
      </c>
      <c r="Q154" s="236">
        <f t="shared" si="41"/>
        <v>338.19464597625205</v>
      </c>
      <c r="R154" s="236">
        <f t="shared" si="47"/>
        <v>64.11840506953844</v>
      </c>
      <c r="S154" s="237">
        <f t="shared" si="48"/>
        <v>19.355865395238169</v>
      </c>
      <c r="T154" s="238">
        <f t="shared" si="42"/>
        <v>-4.5687923355645239</v>
      </c>
      <c r="U154" s="239">
        <f t="shared" si="43"/>
        <v>21.805354023747952</v>
      </c>
      <c r="V154" s="240">
        <f t="shared" si="44"/>
        <v>-64.11840506953844</v>
      </c>
      <c r="W154" s="240">
        <f t="shared" si="45"/>
        <v>-19.355865395238169</v>
      </c>
      <c r="X154" s="240"/>
      <c r="Y154" s="299"/>
    </row>
    <row r="155" spans="13:25" hidden="1">
      <c r="M155" s="306">
        <f t="shared" si="38"/>
        <v>5.1109727578079944</v>
      </c>
      <c r="N155" s="307">
        <f t="shared" si="46"/>
        <v>5.1109727578079944</v>
      </c>
      <c r="O155" s="308">
        <f t="shared" si="39"/>
        <v>8.9203302603484219E-2</v>
      </c>
      <c r="P155" s="235">
        <f t="shared" si="40"/>
        <v>364.09656482824124</v>
      </c>
      <c r="Q155" s="236">
        <f t="shared" si="41"/>
        <v>338.66687348357533</v>
      </c>
      <c r="R155" s="236">
        <f t="shared" si="47"/>
        <v>63.834848533157825</v>
      </c>
      <c r="S155" s="237">
        <f t="shared" si="48"/>
        <v>19.639421931618777</v>
      </c>
      <c r="T155" s="238">
        <f t="shared" si="42"/>
        <v>-4.0965648282412417</v>
      </c>
      <c r="U155" s="239">
        <f t="shared" si="43"/>
        <v>21.33312651642467</v>
      </c>
      <c r="V155" s="240">
        <f t="shared" si="44"/>
        <v>-63.834848533157825</v>
      </c>
      <c r="W155" s="240">
        <f t="shared" si="45"/>
        <v>-19.639421931618777</v>
      </c>
      <c r="X155" s="240"/>
      <c r="Y155" s="299"/>
    </row>
    <row r="156" spans="13:25" hidden="1">
      <c r="M156" s="306">
        <f t="shared" si="38"/>
        <v>4.795947420066657</v>
      </c>
      <c r="N156" s="307">
        <f t="shared" si="46"/>
        <v>4.795947420066657</v>
      </c>
      <c r="O156" s="308">
        <f t="shared" si="39"/>
        <v>8.3705073232690733E-2</v>
      </c>
      <c r="P156" s="235">
        <f t="shared" si="40"/>
        <v>363.59862222705078</v>
      </c>
      <c r="Q156" s="236">
        <f t="shared" si="41"/>
        <v>339.16481608476579</v>
      </c>
      <c r="R156" s="236">
        <f t="shared" si="47"/>
        <v>63.543581330617961</v>
      </c>
      <c r="S156" s="237">
        <f t="shared" si="48"/>
        <v>19.930689134158641</v>
      </c>
      <c r="T156" s="238">
        <f t="shared" si="42"/>
        <v>-3.5986222270507824</v>
      </c>
      <c r="U156" s="239">
        <f t="shared" si="43"/>
        <v>20.835183915234211</v>
      </c>
      <c r="V156" s="240">
        <f t="shared" si="44"/>
        <v>-63.543581330617961</v>
      </c>
      <c r="W156" s="240">
        <f t="shared" si="45"/>
        <v>-19.930689134158641</v>
      </c>
      <c r="X156" s="240"/>
      <c r="Y156" s="299"/>
    </row>
    <row r="157" spans="13:25" hidden="1">
      <c r="M157" s="306">
        <f t="shared" si="38"/>
        <v>4.4809220823253195</v>
      </c>
      <c r="N157" s="307">
        <f t="shared" si="46"/>
        <v>4.4809220823253195</v>
      </c>
      <c r="O157" s="308">
        <f t="shared" si="39"/>
        <v>7.8206843861897232E-2</v>
      </c>
      <c r="P157" s="235">
        <f t="shared" si="40"/>
        <v>363.07167347807649</v>
      </c>
      <c r="Q157" s="236">
        <f t="shared" si="41"/>
        <v>339.69176483374008</v>
      </c>
      <c r="R157" s="236">
        <f t="shared" si="47"/>
        <v>63.244286439614093</v>
      </c>
      <c r="S157" s="237">
        <f t="shared" si="48"/>
        <v>20.229984025162516</v>
      </c>
      <c r="T157" s="238">
        <f t="shared" si="42"/>
        <v>-3.0716734780764909</v>
      </c>
      <c r="U157" s="239">
        <f t="shared" si="43"/>
        <v>20.308235166259919</v>
      </c>
      <c r="V157" s="240">
        <f t="shared" si="44"/>
        <v>-63.244286439614093</v>
      </c>
      <c r="W157" s="240">
        <f t="shared" si="45"/>
        <v>-20.229984025162516</v>
      </c>
      <c r="X157" s="240"/>
      <c r="Y157" s="299"/>
    </row>
    <row r="158" spans="13:25" hidden="1">
      <c r="M158" s="306">
        <f t="shared" si="38"/>
        <v>4.1658967445839821</v>
      </c>
      <c r="N158" s="307">
        <f t="shared" si="46"/>
        <v>4.1658967445839821</v>
      </c>
      <c r="O158" s="308">
        <f t="shared" si="39"/>
        <v>7.2708614491103746E-2</v>
      </c>
      <c r="P158" s="235">
        <f t="shared" si="40"/>
        <v>362.51159267624251</v>
      </c>
      <c r="Q158" s="236">
        <f t="shared" si="41"/>
        <v>340.25184563557406</v>
      </c>
      <c r="R158" s="236">
        <f t="shared" si="47"/>
        <v>62.936619537497869</v>
      </c>
      <c r="S158" s="237">
        <f t="shared" si="48"/>
        <v>20.537650927278737</v>
      </c>
      <c r="T158" s="238">
        <f t="shared" si="42"/>
        <v>-2.5115926762425147</v>
      </c>
      <c r="U158" s="239">
        <f t="shared" si="43"/>
        <v>19.748154364425943</v>
      </c>
      <c r="V158" s="240">
        <f t="shared" si="44"/>
        <v>-62.936619537497869</v>
      </c>
      <c r="W158" s="240">
        <f t="shared" si="45"/>
        <v>-20.537650927278737</v>
      </c>
      <c r="X158" s="240"/>
      <c r="Y158" s="299"/>
    </row>
    <row r="159" spans="13:25" hidden="1">
      <c r="M159" s="306">
        <f t="shared" si="38"/>
        <v>3.8508714068426446</v>
      </c>
      <c r="N159" s="307">
        <f t="shared" si="46"/>
        <v>3.8508714068426446</v>
      </c>
      <c r="O159" s="308">
        <f t="shared" si="39"/>
        <v>6.7210385120310245E-2</v>
      </c>
      <c r="P159" s="235">
        <f t="shared" si="40"/>
        <v>361.91308685260464</v>
      </c>
      <c r="Q159" s="236">
        <f t="shared" si="41"/>
        <v>340.85035145921188</v>
      </c>
      <c r="R159" s="236">
        <f t="shared" si="47"/>
        <v>62.620205691165125</v>
      </c>
      <c r="S159" s="237">
        <f t="shared" si="48"/>
        <v>20.854064773611483</v>
      </c>
      <c r="T159" s="238">
        <f t="shared" si="42"/>
        <v>-1.9130868526046356</v>
      </c>
      <c r="U159" s="239">
        <f t="shared" si="43"/>
        <v>19.149648540788121</v>
      </c>
      <c r="V159" s="240">
        <f t="shared" si="44"/>
        <v>-62.620205691165125</v>
      </c>
      <c r="W159" s="240">
        <f t="shared" si="45"/>
        <v>-20.854064773611483</v>
      </c>
      <c r="X159" s="240"/>
      <c r="Y159" s="299"/>
    </row>
    <row r="160" spans="13:25" hidden="1">
      <c r="M160" s="306">
        <f t="shared" si="38"/>
        <v>3.5358460691013072</v>
      </c>
      <c r="N160" s="307">
        <f t="shared" si="46"/>
        <v>3.5358460691013072</v>
      </c>
      <c r="O160" s="308">
        <f t="shared" si="39"/>
        <v>6.1712155749516752E-2</v>
      </c>
      <c r="P160" s="235">
        <f t="shared" si="40"/>
        <v>361.26917078995632</v>
      </c>
      <c r="Q160" s="236">
        <f t="shared" si="41"/>
        <v>341.49426752186019</v>
      </c>
      <c r="R160" s="236">
        <f t="shared" si="47"/>
        <v>62.294635502875977</v>
      </c>
      <c r="S160" s="237">
        <f t="shared" si="48"/>
        <v>21.179634961900632</v>
      </c>
      <c r="T160" s="238">
        <f t="shared" si="42"/>
        <v>-1.2691707899563198</v>
      </c>
      <c r="U160" s="239">
        <f t="shared" si="43"/>
        <v>18.505732478139805</v>
      </c>
      <c r="V160" s="240">
        <f t="shared" si="44"/>
        <v>-62.294635502875977</v>
      </c>
      <c r="W160" s="240">
        <f t="shared" si="45"/>
        <v>-21.179634961900632</v>
      </c>
      <c r="X160" s="240"/>
      <c r="Y160" s="299"/>
    </row>
    <row r="161" spans="13:25" hidden="1">
      <c r="M161" s="306">
        <f t="shared" si="38"/>
        <v>3.2208207313599697</v>
      </c>
      <c r="N161" s="307">
        <f t="shared" si="46"/>
        <v>3.2208207313599697</v>
      </c>
      <c r="O161" s="308">
        <f t="shared" si="39"/>
        <v>5.6213926378723252E-2</v>
      </c>
      <c r="P161" s="235">
        <f t="shared" si="40"/>
        <v>360.57029084173234</v>
      </c>
      <c r="Q161" s="236">
        <f t="shared" si="41"/>
        <v>342.19314747008417</v>
      </c>
      <c r="R161" s="236">
        <f t="shared" si="47"/>
        <v>61.959460598377333</v>
      </c>
      <c r="S161" s="237">
        <f t="shared" si="48"/>
        <v>21.514809866399272</v>
      </c>
      <c r="T161" s="238">
        <f t="shared" si="42"/>
        <v>-0.57029084173234423</v>
      </c>
      <c r="U161" s="239">
        <f t="shared" si="43"/>
        <v>17.80685252991583</v>
      </c>
      <c r="V161" s="240">
        <f t="shared" si="44"/>
        <v>-61.959460598377333</v>
      </c>
      <c r="W161" s="240">
        <f t="shared" si="45"/>
        <v>-21.514809866399272</v>
      </c>
      <c r="X161" s="240"/>
      <c r="Y161" s="299"/>
    </row>
    <row r="162" spans="13:25" hidden="1">
      <c r="M162" s="306">
        <f t="shared" si="38"/>
        <v>2.9057953936186323</v>
      </c>
      <c r="N162" s="307">
        <f t="shared" si="46"/>
        <v>2.9057953936186323</v>
      </c>
      <c r="O162" s="308">
        <f t="shared" si="39"/>
        <v>5.0715697007929758E-2</v>
      </c>
      <c r="P162" s="235">
        <f t="shared" si="40"/>
        <v>359.80275916110162</v>
      </c>
      <c r="Q162" s="236">
        <f t="shared" si="41"/>
        <v>342.96067915071495</v>
      </c>
      <c r="R162" s="236">
        <f t="shared" si="47"/>
        <v>61.614188314474411</v>
      </c>
      <c r="S162" s="237">
        <f t="shared" si="48"/>
        <v>21.860082150302194</v>
      </c>
      <c r="T162" s="238">
        <f t="shared" si="42"/>
        <v>0.19724083889838084</v>
      </c>
      <c r="U162" s="239">
        <f t="shared" si="43"/>
        <v>17.039320849285048</v>
      </c>
      <c r="V162" s="240">
        <f t="shared" si="44"/>
        <v>-61.614188314474411</v>
      </c>
      <c r="W162" s="240">
        <f t="shared" si="45"/>
        <v>-21.860082150302194</v>
      </c>
      <c r="X162" s="240"/>
      <c r="Y162" s="299"/>
    </row>
    <row r="163" spans="13:25" hidden="1">
      <c r="M163" s="306">
        <f t="shared" si="38"/>
        <v>2.5907700558772948</v>
      </c>
      <c r="N163" s="307">
        <f t="shared" si="46"/>
        <v>2.5907700558772948</v>
      </c>
      <c r="O163" s="308">
        <f t="shared" si="39"/>
        <v>4.5217467637136265E-2</v>
      </c>
      <c r="P163" s="235">
        <f t="shared" si="40"/>
        <v>358.94568851792275</v>
      </c>
      <c r="Q163" s="236">
        <f t="shared" si="41"/>
        <v>343.81774979389377</v>
      </c>
      <c r="R163" s="236">
        <f t="shared" si="47"/>
        <v>61.258275404939617</v>
      </c>
      <c r="S163" s="237">
        <f t="shared" si="48"/>
        <v>22.215995059836992</v>
      </c>
      <c r="T163" s="238">
        <f t="shared" si="42"/>
        <v>1.054311482077253</v>
      </c>
      <c r="U163" s="239">
        <f t="shared" si="43"/>
        <v>16.182250206106232</v>
      </c>
      <c r="V163" s="240">
        <f t="shared" si="44"/>
        <v>-61.258275404939617</v>
      </c>
      <c r="W163" s="240">
        <f t="shared" si="45"/>
        <v>-22.215995059836992</v>
      </c>
      <c r="X163" s="240"/>
      <c r="Y163" s="299"/>
    </row>
    <row r="164" spans="13:25" hidden="1">
      <c r="M164" s="306">
        <f t="shared" si="38"/>
        <v>2.2757447181359574</v>
      </c>
      <c r="N164" s="307">
        <f t="shared" si="46"/>
        <v>2.2757447181359574</v>
      </c>
      <c r="O164" s="308">
        <f t="shared" si="39"/>
        <v>3.9719238266342771E-2</v>
      </c>
      <c r="P164" s="235">
        <f t="shared" si="40"/>
        <v>357.9641744417043</v>
      </c>
      <c r="Q164" s="236">
        <f t="shared" si="41"/>
        <v>344.79926387011221</v>
      </c>
      <c r="R164" s="236">
        <f t="shared" si="47"/>
        <v>60.891120533036023</v>
      </c>
      <c r="S164" s="237">
        <f t="shared" si="48"/>
        <v>22.583149931740586</v>
      </c>
      <c r="T164" s="238">
        <f t="shared" si="42"/>
        <v>2.0358255582956986</v>
      </c>
      <c r="U164" s="239">
        <f t="shared" si="43"/>
        <v>15.200736129887787</v>
      </c>
      <c r="V164" s="240">
        <f t="shared" si="44"/>
        <v>-60.891120533036023</v>
      </c>
      <c r="W164" s="240">
        <f t="shared" si="45"/>
        <v>-22.583149931740586</v>
      </c>
      <c r="X164" s="240"/>
      <c r="Y164" s="299"/>
    </row>
    <row r="165" spans="13:25" hidden="1">
      <c r="M165" s="306">
        <f t="shared" si="38"/>
        <v>1.9607193803946199</v>
      </c>
      <c r="N165" s="307">
        <f t="shared" si="46"/>
        <v>1.9607193803946199</v>
      </c>
      <c r="O165" s="308">
        <f t="shared" si="39"/>
        <v>3.4221008895549271E-2</v>
      </c>
      <c r="P165" s="235">
        <f t="shared" si="40"/>
        <v>356.79086531930199</v>
      </c>
      <c r="Q165" s="236">
        <f t="shared" si="41"/>
        <v>345.97257299251459</v>
      </c>
      <c r="R165" s="236">
        <f t="shared" si="47"/>
        <v>60.512055251255113</v>
      </c>
      <c r="S165" s="237">
        <f t="shared" si="48"/>
        <v>22.962215213521489</v>
      </c>
      <c r="T165" s="238">
        <f t="shared" si="42"/>
        <v>3.2091346806980141</v>
      </c>
      <c r="U165" s="239">
        <f t="shared" si="43"/>
        <v>14.027427007485414</v>
      </c>
      <c r="V165" s="240">
        <f t="shared" si="44"/>
        <v>-60.512055251255113</v>
      </c>
      <c r="W165" s="240">
        <f t="shared" si="45"/>
        <v>-22.962215213521489</v>
      </c>
      <c r="X165" s="240"/>
      <c r="Y165" s="299"/>
    </row>
    <row r="166" spans="13:25" hidden="1">
      <c r="M166" s="306">
        <f t="shared" si="38"/>
        <v>1.6456940426532825</v>
      </c>
      <c r="N166" s="307">
        <f t="shared" si="46"/>
        <v>1.6456940426532825</v>
      </c>
      <c r="O166" s="308">
        <f t="shared" si="39"/>
        <v>2.8722779524755777E-2</v>
      </c>
      <c r="P166" s="235">
        <f t="shared" si="40"/>
        <v>355.25518479325461</v>
      </c>
      <c r="Q166" s="236">
        <f t="shared" si="41"/>
        <v>347.5082535185619</v>
      </c>
      <c r="R166" s="236">
        <f t="shared" si="47"/>
        <v>60.120333077276584</v>
      </c>
      <c r="S166" s="237">
        <f t="shared" si="48"/>
        <v>23.353937387500022</v>
      </c>
      <c r="T166" s="238">
        <f t="shared" si="42"/>
        <v>4.7448152067453861</v>
      </c>
      <c r="U166" s="239">
        <f t="shared" si="43"/>
        <v>12.491746481438099</v>
      </c>
      <c r="V166" s="240">
        <f t="shared" si="44"/>
        <v>-60.120333077276584</v>
      </c>
      <c r="W166" s="240">
        <f t="shared" si="45"/>
        <v>-23.353937387500022</v>
      </c>
      <c r="X166" s="240"/>
      <c r="Y166" s="299"/>
    </row>
    <row r="167" spans="13:25" hidden="1">
      <c r="M167" s="306">
        <f t="shared" si="38"/>
        <v>1.330668704911945</v>
      </c>
      <c r="N167" s="307">
        <f t="shared" si="46"/>
        <v>1.330668704911945</v>
      </c>
      <c r="O167" s="308">
        <f t="shared" si="39"/>
        <v>2.322455015396228E-2</v>
      </c>
      <c r="P167" s="235">
        <f t="shared" si="40"/>
        <v>352.13204317759556</v>
      </c>
      <c r="Q167" s="236">
        <f t="shared" si="41"/>
        <v>350.63139513422101</v>
      </c>
      <c r="R167" s="236">
        <f t="shared" si="47"/>
        <v>59.71511614959865</v>
      </c>
      <c r="S167" s="237">
        <f t="shared" si="48"/>
        <v>23.759154315177955</v>
      </c>
      <c r="T167" s="238">
        <f t="shared" si="42"/>
        <v>7.8679568224044374</v>
      </c>
      <c r="U167" s="239">
        <f t="shared" si="43"/>
        <v>9.3686048657789911</v>
      </c>
      <c r="V167" s="240">
        <f t="shared" si="44"/>
        <v>-59.71511614959865</v>
      </c>
      <c r="W167" s="240">
        <f t="shared" si="45"/>
        <v>-23.759154315177955</v>
      </c>
      <c r="X167" s="240"/>
      <c r="Y167" s="299"/>
    </row>
    <row r="168" spans="13:25" hidden="1">
      <c r="M168" s="306">
        <f t="shared" si="38"/>
        <v>1.0156433671706075</v>
      </c>
      <c r="N168" s="307">
        <f t="shared" si="46"/>
        <v>1.0156433671706075</v>
      </c>
      <c r="O168" s="308">
        <f t="shared" si="39"/>
        <v>1.7726320783168787E-2</v>
      </c>
      <c r="P168" s="235" t="e">
        <f t="shared" si="40"/>
        <v>#N/A</v>
      </c>
      <c r="Q168" s="236" t="e">
        <f t="shared" si="41"/>
        <v>#N/A</v>
      </c>
      <c r="R168" s="236">
        <f t="shared" ref="R168:R193" si="49">IFERROR(DEGREES(grt_+ACOS((SIN(h_)-SIN(d_)*SIN(O168))/COS(d_)/COS(O168))),#N/A)</f>
        <v>59.295458771725201</v>
      </c>
      <c r="S168" s="237">
        <f t="shared" ref="S168:S193" si="50">IFERROR(DEGREES(grt_-ACOS((SIN(h_)-SIN(d_)*SIN(O168))/COS(d_)/COS(O168))),#N/A)</f>
        <v>24.178811693051404</v>
      </c>
      <c r="T168" s="238" t="e">
        <f t="shared" si="42"/>
        <v>#N/A</v>
      </c>
      <c r="U168" s="239" t="e">
        <f t="shared" si="43"/>
        <v>#N/A</v>
      </c>
      <c r="V168" s="240">
        <f t="shared" si="44"/>
        <v>-59.295458771725201</v>
      </c>
      <c r="W168" s="240">
        <f t="shared" si="45"/>
        <v>-24.178811693051404</v>
      </c>
      <c r="X168" s="240"/>
      <c r="Y168" s="299"/>
    </row>
    <row r="169" spans="13:25" hidden="1">
      <c r="M169" s="306">
        <f t="shared" si="38"/>
        <v>0.70061802942927009</v>
      </c>
      <c r="N169" s="307">
        <f t="shared" si="46"/>
        <v>0.70061802942927009</v>
      </c>
      <c r="O169" s="308">
        <f t="shared" si="39"/>
        <v>1.2228091412375292E-2</v>
      </c>
      <c r="P169" s="235" t="e">
        <f t="shared" si="40"/>
        <v>#N/A</v>
      </c>
      <c r="Q169" s="236" t="e">
        <f t="shared" si="41"/>
        <v>#N/A</v>
      </c>
      <c r="R169" s="236">
        <f t="shared" si="49"/>
        <v>58.860286907339777</v>
      </c>
      <c r="S169" s="237">
        <f t="shared" si="50"/>
        <v>24.613983557436832</v>
      </c>
      <c r="T169" s="238" t="e">
        <f t="shared" si="42"/>
        <v>#N/A</v>
      </c>
      <c r="U169" s="239" t="e">
        <f t="shared" si="43"/>
        <v>#N/A</v>
      </c>
      <c r="V169" s="240">
        <f t="shared" si="44"/>
        <v>-58.860286907339777</v>
      </c>
      <c r="W169" s="240">
        <f t="shared" si="45"/>
        <v>-24.613983557436832</v>
      </c>
      <c r="X169" s="240"/>
      <c r="Y169" s="299"/>
    </row>
    <row r="170" spans="13:25" hidden="1">
      <c r="M170" s="306">
        <f t="shared" si="38"/>
        <v>0.3855926916879327</v>
      </c>
      <c r="N170" s="307">
        <f t="shared" si="46"/>
        <v>0.3855926916879327</v>
      </c>
      <c r="O170" s="308">
        <f t="shared" si="39"/>
        <v>6.7298620415817967E-3</v>
      </c>
      <c r="P170" s="235" t="e">
        <f t="shared" si="40"/>
        <v>#N/A</v>
      </c>
      <c r="Q170" s="236" t="e">
        <f t="shared" si="41"/>
        <v>#N/A</v>
      </c>
      <c r="R170" s="236">
        <f t="shared" si="49"/>
        <v>58.408372335010448</v>
      </c>
      <c r="S170" s="237">
        <f t="shared" si="50"/>
        <v>25.065898129766154</v>
      </c>
      <c r="T170" s="238" t="e">
        <f t="shared" si="42"/>
        <v>#N/A</v>
      </c>
      <c r="U170" s="239" t="e">
        <f t="shared" si="43"/>
        <v>#N/A</v>
      </c>
      <c r="V170" s="240">
        <f t="shared" si="44"/>
        <v>-58.408372335010448</v>
      </c>
      <c r="W170" s="240">
        <f t="shared" si="45"/>
        <v>-25.065898129766154</v>
      </c>
      <c r="X170" s="240"/>
      <c r="Y170" s="299"/>
    </row>
    <row r="171" spans="13:25" hidden="1">
      <c r="M171" s="306">
        <f t="shared" si="38"/>
        <v>7.0567353946595301E-2</v>
      </c>
      <c r="N171" s="307">
        <f t="shared" si="46"/>
        <v>7.0567353946595301E-2</v>
      </c>
      <c r="O171" s="308">
        <f t="shared" si="39"/>
        <v>1.2316326707883028E-3</v>
      </c>
      <c r="P171" s="235" t="e">
        <f t="shared" si="40"/>
        <v>#N/A</v>
      </c>
      <c r="Q171" s="236" t="e">
        <f t="shared" si="41"/>
        <v>#N/A</v>
      </c>
      <c r="R171" s="236">
        <f t="shared" si="49"/>
        <v>57.93829965323782</v>
      </c>
      <c r="S171" s="237">
        <f t="shared" si="50"/>
        <v>25.535970811538789</v>
      </c>
      <c r="T171" s="238" t="e">
        <f t="shared" si="42"/>
        <v>#N/A</v>
      </c>
      <c r="U171" s="239" t="e">
        <f t="shared" si="43"/>
        <v>#N/A</v>
      </c>
      <c r="V171" s="240">
        <f t="shared" si="44"/>
        <v>-57.93829965323782</v>
      </c>
      <c r="W171" s="240">
        <f t="shared" si="45"/>
        <v>-25.535970811538789</v>
      </c>
      <c r="X171" s="240"/>
      <c r="Y171" s="299"/>
    </row>
    <row r="172" spans="13:25" hidden="1">
      <c r="M172" s="306">
        <f t="shared" si="38"/>
        <v>-0.2444579837947421</v>
      </c>
      <c r="N172" s="307">
        <f t="shared" si="46"/>
        <v>-0.2444579837947421</v>
      </c>
      <c r="O172" s="308">
        <f t="shared" si="39"/>
        <v>-4.2665967000051919E-3</v>
      </c>
      <c r="P172" s="235" t="e">
        <f t="shared" si="40"/>
        <v>#N/A</v>
      </c>
      <c r="Q172" s="236" t="e">
        <f t="shared" si="41"/>
        <v>#N/A</v>
      </c>
      <c r="R172" s="236">
        <f t="shared" si="49"/>
        <v>57.448423553355205</v>
      </c>
      <c r="S172" s="237">
        <f t="shared" si="50"/>
        <v>26.0258469114214</v>
      </c>
      <c r="T172" s="238" t="e">
        <f t="shared" si="42"/>
        <v>#N/A</v>
      </c>
      <c r="U172" s="239" t="e">
        <f t="shared" si="43"/>
        <v>#N/A</v>
      </c>
      <c r="V172" s="240">
        <f t="shared" si="44"/>
        <v>-57.448423553355205</v>
      </c>
      <c r="W172" s="240">
        <f t="shared" si="45"/>
        <v>-26.0258469114214</v>
      </c>
      <c r="X172" s="240"/>
      <c r="Y172" s="299"/>
    </row>
    <row r="173" spans="13:25" hidden="1">
      <c r="M173" s="306">
        <f t="shared" si="38"/>
        <v>-0.55948332153607949</v>
      </c>
      <c r="N173" s="307">
        <f t="shared" si="46"/>
        <v>-0.55948332153607949</v>
      </c>
      <c r="O173" s="308">
        <f t="shared" si="39"/>
        <v>-9.7648260707986854E-3</v>
      </c>
      <c r="P173" s="235" t="e">
        <f t="shared" si="40"/>
        <v>#N/A</v>
      </c>
      <c r="Q173" s="236" t="e">
        <f t="shared" si="41"/>
        <v>#N/A</v>
      </c>
      <c r="R173" s="236">
        <f t="shared" si="49"/>
        <v>56.93681259567991</v>
      </c>
      <c r="S173" s="237">
        <f t="shared" si="50"/>
        <v>26.537457869096691</v>
      </c>
      <c r="T173" s="238" t="e">
        <f t="shared" si="42"/>
        <v>#N/A</v>
      </c>
      <c r="U173" s="239" t="e">
        <f t="shared" si="43"/>
        <v>#N/A</v>
      </c>
      <c r="V173" s="240">
        <f t="shared" si="44"/>
        <v>-56.93681259567991</v>
      </c>
      <c r="W173" s="240">
        <f t="shared" si="45"/>
        <v>-26.537457869096691</v>
      </c>
      <c r="X173" s="240"/>
      <c r="Y173" s="299"/>
    </row>
    <row r="174" spans="13:25" hidden="1">
      <c r="M174" s="306">
        <f t="shared" si="38"/>
        <v>-0.87450865927741694</v>
      </c>
      <c r="N174" s="307">
        <f t="shared" si="46"/>
        <v>-0.87450865927741694</v>
      </c>
      <c r="O174" s="308">
        <f t="shared" si="39"/>
        <v>-1.5263055441592181E-2</v>
      </c>
      <c r="P174" s="235" t="e">
        <f t="shared" si="40"/>
        <v>#N/A</v>
      </c>
      <c r="Q174" s="236" t="e">
        <f t="shared" si="41"/>
        <v>#N/A</v>
      </c>
      <c r="R174" s="236">
        <f t="shared" si="49"/>
        <v>56.401173869563991</v>
      </c>
      <c r="S174" s="237">
        <f t="shared" si="50"/>
        <v>27.073096595212615</v>
      </c>
      <c r="T174" s="238" t="e">
        <f t="shared" si="42"/>
        <v>#N/A</v>
      </c>
      <c r="U174" s="239" t="e">
        <f t="shared" si="43"/>
        <v>#N/A</v>
      </c>
      <c r="V174" s="240">
        <f t="shared" si="44"/>
        <v>-56.401173869563991</v>
      </c>
      <c r="W174" s="240">
        <f t="shared" si="45"/>
        <v>-27.073096595212615</v>
      </c>
      <c r="X174" s="240"/>
      <c r="Y174" s="299"/>
    </row>
    <row r="175" spans="13:25" hidden="1">
      <c r="M175" s="306">
        <f t="shared" si="38"/>
        <v>-1.1895339970187544</v>
      </c>
      <c r="N175" s="307">
        <f t="shared" si="46"/>
        <v>-1.1895339970187544</v>
      </c>
      <c r="O175" s="308">
        <f t="shared" si="39"/>
        <v>-2.0761284812385677E-2</v>
      </c>
      <c r="P175" s="235" t="e">
        <f t="shared" si="40"/>
        <v>#N/A</v>
      </c>
      <c r="Q175" s="236" t="e">
        <f t="shared" si="41"/>
        <v>#N/A</v>
      </c>
      <c r="R175" s="236">
        <f t="shared" si="49"/>
        <v>55.838749920571111</v>
      </c>
      <c r="S175" s="237">
        <f t="shared" si="50"/>
        <v>27.635520544205495</v>
      </c>
      <c r="T175" s="238" t="e">
        <f t="shared" si="42"/>
        <v>#N/A</v>
      </c>
      <c r="U175" s="239" t="e">
        <f t="shared" si="43"/>
        <v>#N/A</v>
      </c>
      <c r="V175" s="240">
        <f t="shared" si="44"/>
        <v>-55.838749920571111</v>
      </c>
      <c r="W175" s="240">
        <f t="shared" si="45"/>
        <v>-27.635520544205495</v>
      </c>
      <c r="X175" s="240"/>
      <c r="Y175" s="299"/>
    </row>
    <row r="176" spans="13:25" hidden="1">
      <c r="M176" s="306">
        <f t="shared" si="38"/>
        <v>-1.5045593347600918</v>
      </c>
      <c r="N176" s="307">
        <f t="shared" si="46"/>
        <v>-1.5045593347600918</v>
      </c>
      <c r="O176" s="308">
        <f t="shared" si="39"/>
        <v>-2.6259514183179171E-2</v>
      </c>
      <c r="P176" s="235" t="e">
        <f t="shared" si="40"/>
        <v>#N/A</v>
      </c>
      <c r="Q176" s="236" t="e">
        <f t="shared" si="41"/>
        <v>#N/A</v>
      </c>
      <c r="R176" s="236">
        <f t="shared" si="49"/>
        <v>55.246174317377218</v>
      </c>
      <c r="S176" s="237">
        <f t="shared" si="50"/>
        <v>28.228096147399388</v>
      </c>
      <c r="T176" s="238" t="e">
        <f t="shared" si="42"/>
        <v>#N/A</v>
      </c>
      <c r="U176" s="239" t="e">
        <f t="shared" si="43"/>
        <v>#N/A</v>
      </c>
      <c r="V176" s="240">
        <f t="shared" si="44"/>
        <v>-55.246174317377218</v>
      </c>
      <c r="W176" s="240">
        <f t="shared" si="45"/>
        <v>-28.228096147399388</v>
      </c>
      <c r="X176" s="240"/>
      <c r="Y176" s="299"/>
    </row>
    <row r="177" spans="12:25" hidden="1">
      <c r="M177" s="306">
        <f t="shared" ref="M177:M193" si="51">IF(N177&gt;maxn,maxn,IF(N177&lt;mins,mins,N177))</f>
        <v>-1.8195846725014293</v>
      </c>
      <c r="N177" s="307">
        <f t="shared" si="46"/>
        <v>-1.8195846725014293</v>
      </c>
      <c r="O177" s="308">
        <f t="shared" ref="O177:O193" si="52">RADIANS(M177)</f>
        <v>-3.1757743553972664E-2</v>
      </c>
      <c r="P177" s="235" t="e">
        <f t="shared" ref="P177:P193" si="53">IFERROR(DEGREES(grt+ACOS((SIN(h)-SIN(d)*SIN(O177))/COS(d)/COS(O177))),#N/A)</f>
        <v>#N/A</v>
      </c>
      <c r="Q177" s="236" t="e">
        <f t="shared" ref="Q177:Q193" si="54">IFERROR(DEGREES(grt-ACOS((SIN(h)-SIN(d)*SIN(O177))/COS(d)/COS(O177))),#N/A)</f>
        <v>#N/A</v>
      </c>
      <c r="R177" s="236">
        <f t="shared" si="49"/>
        <v>54.619263521114966</v>
      </c>
      <c r="S177" s="237">
        <f t="shared" si="50"/>
        <v>28.855006943661639</v>
      </c>
      <c r="T177" s="238" t="e">
        <f t="shared" ref="T177:T193" si="55">IF(P177&lt;0,ABS(P177),IF(P177&gt;360,-(P177-360),IF(AND(P177&gt;180,P177&lt;360),ABS(360-P177),-P177)))</f>
        <v>#N/A</v>
      </c>
      <c r="U177" s="239" t="e">
        <f t="shared" ref="U177:U193" si="56">IF(Q177&lt;0,ABS(Q177),IF(Q177&gt;360,Q177-(Q177-360),IF(AND(Q177&gt;180,Q177&lt;360),ABS(360-Q177),-Q177)))</f>
        <v>#N/A</v>
      </c>
      <c r="V177" s="240">
        <f t="shared" ref="V177:V193" si="57">IF(R177&lt;0,ABS(R177),IF(R177&gt;360,-(R177-360),IF(AND(R177&gt;180,R177&lt;360),ABS(360-R177),-R177)))</f>
        <v>-54.619263521114966</v>
      </c>
      <c r="W177" s="240">
        <f t="shared" ref="W177:W193" si="58">IF(S177&lt;0,ABS(S177),IF(S177&gt;360,-(S177-360),IF(AND(S177&gt;180,S177&lt;360),ABS(360-S177),-S177)))</f>
        <v>-28.855006943661639</v>
      </c>
      <c r="X177" s="240"/>
      <c r="Y177" s="299"/>
    </row>
    <row r="178" spans="12:25" hidden="1">
      <c r="M178" s="306">
        <f t="shared" si="51"/>
        <v>-2.1346100102427665</v>
      </c>
      <c r="N178" s="307">
        <f t="shared" si="46"/>
        <v>-2.1346100102427665</v>
      </c>
      <c r="O178" s="308">
        <f t="shared" si="52"/>
        <v>-3.7255972924766158E-2</v>
      </c>
      <c r="P178" s="235" t="e">
        <f t="shared" si="53"/>
        <v>#N/A</v>
      </c>
      <c r="Q178" s="236" t="e">
        <f t="shared" si="54"/>
        <v>#N/A</v>
      </c>
      <c r="R178" s="236">
        <f t="shared" si="49"/>
        <v>53.952706870880057</v>
      </c>
      <c r="S178" s="237">
        <f t="shared" si="50"/>
        <v>29.521563593896545</v>
      </c>
      <c r="T178" s="238" t="e">
        <f t="shared" si="55"/>
        <v>#N/A</v>
      </c>
      <c r="U178" s="239" t="e">
        <f t="shared" si="56"/>
        <v>#N/A</v>
      </c>
      <c r="V178" s="240">
        <f t="shared" si="57"/>
        <v>-53.952706870880057</v>
      </c>
      <c r="W178" s="240">
        <f t="shared" si="58"/>
        <v>-29.521563593896545</v>
      </c>
      <c r="X178" s="240"/>
      <c r="Y178" s="299"/>
    </row>
    <row r="179" spans="12:25" hidden="1">
      <c r="M179" s="306">
        <f t="shared" si="51"/>
        <v>-2.449635347984104</v>
      </c>
      <c r="N179" s="307">
        <f t="shared" si="46"/>
        <v>-2.449635347984104</v>
      </c>
      <c r="O179" s="308">
        <f t="shared" si="52"/>
        <v>-4.2754202295559651E-2</v>
      </c>
      <c r="P179" s="235" t="e">
        <f t="shared" si="53"/>
        <v>#N/A</v>
      </c>
      <c r="Q179" s="236" t="e">
        <f t="shared" si="54"/>
        <v>#N/A</v>
      </c>
      <c r="R179" s="236">
        <f t="shared" si="49"/>
        <v>53.239586048126867</v>
      </c>
      <c r="S179" s="237">
        <f t="shared" si="50"/>
        <v>30.234684416649738</v>
      </c>
      <c r="T179" s="238" t="e">
        <f t="shared" si="55"/>
        <v>#N/A</v>
      </c>
      <c r="U179" s="239" t="e">
        <f t="shared" si="56"/>
        <v>#N/A</v>
      </c>
      <c r="V179" s="240">
        <f t="shared" si="57"/>
        <v>-53.239586048126867</v>
      </c>
      <c r="W179" s="240">
        <f t="shared" si="58"/>
        <v>-30.234684416649738</v>
      </c>
      <c r="X179" s="240"/>
      <c r="Y179" s="299"/>
    </row>
    <row r="180" spans="12:25" hidden="1">
      <c r="M180" s="306">
        <f t="shared" si="51"/>
        <v>-2.7646606857254414</v>
      </c>
      <c r="N180" s="307">
        <f t="shared" si="46"/>
        <v>-2.7646606857254414</v>
      </c>
      <c r="O180" s="308">
        <f t="shared" si="52"/>
        <v>-4.8252431666353152E-2</v>
      </c>
      <c r="P180" s="235" t="e">
        <f t="shared" si="53"/>
        <v>#N/A</v>
      </c>
      <c r="Q180" s="236" t="e">
        <f t="shared" si="54"/>
        <v>#N/A</v>
      </c>
      <c r="R180" s="236">
        <f t="shared" si="49"/>
        <v>52.470592897845428</v>
      </c>
      <c r="S180" s="237">
        <f t="shared" si="50"/>
        <v>31.003677566931177</v>
      </c>
      <c r="T180" s="238" t="e">
        <f t="shared" si="55"/>
        <v>#N/A</v>
      </c>
      <c r="U180" s="239" t="e">
        <f t="shared" si="56"/>
        <v>#N/A</v>
      </c>
      <c r="V180" s="240">
        <f t="shared" si="57"/>
        <v>-52.470592897845428</v>
      </c>
      <c r="W180" s="240">
        <f t="shared" si="58"/>
        <v>-31.003677566931177</v>
      </c>
      <c r="X180" s="240"/>
      <c r="Y180" s="299"/>
    </row>
    <row r="181" spans="12:25" hidden="1">
      <c r="M181" s="306">
        <f t="shared" si="51"/>
        <v>-3.0796860234667789</v>
      </c>
      <c r="N181" s="307">
        <f t="shared" si="46"/>
        <v>-3.0796860234667789</v>
      </c>
      <c r="O181" s="308">
        <f t="shared" si="52"/>
        <v>-5.3750661037146645E-2</v>
      </c>
      <c r="P181" s="235" t="e">
        <f t="shared" si="53"/>
        <v>#N/A</v>
      </c>
      <c r="Q181" s="236" t="e">
        <f t="shared" si="54"/>
        <v>#N/A</v>
      </c>
      <c r="R181" s="236">
        <f t="shared" si="49"/>
        <v>51.632675378407306</v>
      </c>
      <c r="S181" s="237">
        <f t="shared" si="50"/>
        <v>31.841595086369299</v>
      </c>
      <c r="T181" s="238" t="e">
        <f t="shared" si="55"/>
        <v>#N/A</v>
      </c>
      <c r="U181" s="239" t="e">
        <f t="shared" si="56"/>
        <v>#N/A</v>
      </c>
      <c r="V181" s="240">
        <f t="shared" si="57"/>
        <v>-51.632675378407306</v>
      </c>
      <c r="W181" s="240">
        <f t="shared" si="58"/>
        <v>-31.841595086369299</v>
      </c>
      <c r="X181" s="240"/>
      <c r="Y181" s="299"/>
    </row>
    <row r="182" spans="12:25" hidden="1">
      <c r="M182" s="306">
        <f t="shared" si="51"/>
        <v>-3.3947113612081163</v>
      </c>
      <c r="N182" s="307">
        <f t="shared" si="46"/>
        <v>-3.3947113612081163</v>
      </c>
      <c r="O182" s="308">
        <f t="shared" si="52"/>
        <v>-5.9248890407940139E-2</v>
      </c>
      <c r="P182" s="235" t="e">
        <f t="shared" si="53"/>
        <v>#N/A</v>
      </c>
      <c r="Q182" s="236" t="e">
        <f t="shared" si="54"/>
        <v>#N/A</v>
      </c>
      <c r="R182" s="236">
        <f t="shared" si="49"/>
        <v>50.706497744053856</v>
      </c>
      <c r="S182" s="237">
        <f t="shared" si="50"/>
        <v>32.767772720722753</v>
      </c>
      <c r="T182" s="238" t="e">
        <f t="shared" si="55"/>
        <v>#N/A</v>
      </c>
      <c r="U182" s="239" t="e">
        <f t="shared" si="56"/>
        <v>#N/A</v>
      </c>
      <c r="V182" s="240">
        <f t="shared" si="57"/>
        <v>-50.706497744053856</v>
      </c>
      <c r="W182" s="240">
        <f t="shared" si="58"/>
        <v>-32.767772720722753</v>
      </c>
      <c r="X182" s="240"/>
      <c r="Y182" s="299"/>
    </row>
    <row r="183" spans="12:25" hidden="1">
      <c r="M183" s="306">
        <f t="shared" si="51"/>
        <v>-3.7097366989494538</v>
      </c>
      <c r="N183" s="307">
        <f t="shared" si="46"/>
        <v>-3.7097366989494538</v>
      </c>
      <c r="O183" s="308">
        <f t="shared" si="52"/>
        <v>-6.4747119778733639E-2</v>
      </c>
      <c r="P183" s="235" t="e">
        <f t="shared" si="53"/>
        <v>#N/A</v>
      </c>
      <c r="Q183" s="236" t="e">
        <f t="shared" si="54"/>
        <v>#N/A</v>
      </c>
      <c r="R183" s="236">
        <f t="shared" si="49"/>
        <v>49.661125549405007</v>
      </c>
      <c r="S183" s="237">
        <f t="shared" si="50"/>
        <v>33.813144915371602</v>
      </c>
      <c r="T183" s="238" t="e">
        <f t="shared" si="55"/>
        <v>#N/A</v>
      </c>
      <c r="U183" s="239" t="e">
        <f t="shared" si="56"/>
        <v>#N/A</v>
      </c>
      <c r="V183" s="240">
        <f t="shared" si="57"/>
        <v>-49.661125549405007</v>
      </c>
      <c r="W183" s="240">
        <f t="shared" si="58"/>
        <v>-33.813144915371602</v>
      </c>
      <c r="X183" s="240"/>
      <c r="Y183" s="299"/>
    </row>
    <row r="184" spans="12:25" hidden="1">
      <c r="M184" s="306">
        <f t="shared" si="51"/>
        <v>-4.0247620366907908</v>
      </c>
      <c r="N184" s="307">
        <f t="shared" si="46"/>
        <v>-4.0247620366907908</v>
      </c>
      <c r="O184" s="308">
        <f t="shared" si="52"/>
        <v>-7.0245349149527125E-2</v>
      </c>
      <c r="P184" s="235" t="e">
        <f t="shared" si="53"/>
        <v>#N/A</v>
      </c>
      <c r="Q184" s="236" t="e">
        <f t="shared" si="54"/>
        <v>#N/A</v>
      </c>
      <c r="R184" s="236">
        <f t="shared" si="49"/>
        <v>48.440972134907057</v>
      </c>
      <c r="S184" s="237">
        <f t="shared" si="50"/>
        <v>35.033298329869545</v>
      </c>
      <c r="T184" s="238" t="e">
        <f t="shared" si="55"/>
        <v>#N/A</v>
      </c>
      <c r="U184" s="239" t="e">
        <f t="shared" si="56"/>
        <v>#N/A</v>
      </c>
      <c r="V184" s="240">
        <f t="shared" si="57"/>
        <v>-48.440972134907057</v>
      </c>
      <c r="W184" s="240">
        <f t="shared" si="58"/>
        <v>-35.033298329869545</v>
      </c>
      <c r="X184" s="240"/>
      <c r="Y184" s="299"/>
    </row>
    <row r="185" spans="12:25" hidden="1">
      <c r="M185" s="306">
        <f t="shared" si="51"/>
        <v>-4.3397873744321283</v>
      </c>
      <c r="N185" s="307">
        <f t="shared" si="46"/>
        <v>-4.3397873744321283</v>
      </c>
      <c r="O185" s="308">
        <f t="shared" si="52"/>
        <v>-7.5743578520320612E-2</v>
      </c>
      <c r="P185" s="235" t="e">
        <f t="shared" si="53"/>
        <v>#N/A</v>
      </c>
      <c r="Q185" s="236" t="e">
        <f t="shared" si="54"/>
        <v>#N/A</v>
      </c>
      <c r="R185" s="236">
        <f t="shared" si="49"/>
        <v>46.92405133767398</v>
      </c>
      <c r="S185" s="237">
        <f t="shared" si="50"/>
        <v>36.550219127102629</v>
      </c>
      <c r="T185" s="238" t="e">
        <f t="shared" si="55"/>
        <v>#N/A</v>
      </c>
      <c r="U185" s="239" t="e">
        <f t="shared" si="56"/>
        <v>#N/A</v>
      </c>
      <c r="V185" s="240">
        <f t="shared" si="57"/>
        <v>-46.92405133767398</v>
      </c>
      <c r="W185" s="240">
        <f t="shared" si="58"/>
        <v>-36.550219127102629</v>
      </c>
      <c r="X185" s="240"/>
      <c r="Y185" s="299"/>
    </row>
    <row r="186" spans="12:25" hidden="1">
      <c r="M186" s="306">
        <f t="shared" si="51"/>
        <v>-4.6548127121734657</v>
      </c>
      <c r="N186" s="307">
        <f t="shared" si="46"/>
        <v>-4.6548127121734657</v>
      </c>
      <c r="O186" s="308">
        <f t="shared" si="52"/>
        <v>-8.1241807891114112E-2</v>
      </c>
      <c r="P186" s="235" t="e">
        <f t="shared" si="53"/>
        <v>#N/A</v>
      </c>
      <c r="Q186" s="236" t="e">
        <f t="shared" si="54"/>
        <v>#N/A</v>
      </c>
      <c r="R186" s="236">
        <f t="shared" si="49"/>
        <v>44.682779812057198</v>
      </c>
      <c r="S186" s="237">
        <f t="shared" si="50"/>
        <v>38.791490652719403</v>
      </c>
      <c r="T186" s="238" t="e">
        <f t="shared" si="55"/>
        <v>#N/A</v>
      </c>
      <c r="U186" s="239" t="e">
        <f t="shared" si="56"/>
        <v>#N/A</v>
      </c>
      <c r="V186" s="240">
        <f t="shared" si="57"/>
        <v>-44.682779812057198</v>
      </c>
      <c r="W186" s="240">
        <f t="shared" si="58"/>
        <v>-38.791490652719403</v>
      </c>
      <c r="X186" s="240"/>
      <c r="Y186" s="299"/>
    </row>
    <row r="187" spans="12:25" hidden="1">
      <c r="M187" s="306">
        <f t="shared" si="51"/>
        <v>-4.793629980669051</v>
      </c>
      <c r="N187" s="307">
        <f t="shared" si="46"/>
        <v>-4.9698380499148032</v>
      </c>
      <c r="O187" s="308">
        <f t="shared" si="52"/>
        <v>-8.3664626284987068E-2</v>
      </c>
      <c r="P187" s="235" t="e">
        <f t="shared" si="53"/>
        <v>#N/A</v>
      </c>
      <c r="Q187" s="236" t="e">
        <f t="shared" si="54"/>
        <v>#N/A</v>
      </c>
      <c r="R187" s="236">
        <f t="shared" si="49"/>
        <v>42.501588099192467</v>
      </c>
      <c r="S187" s="237">
        <f t="shared" si="50"/>
        <v>40.972682365584141</v>
      </c>
      <c r="T187" s="238" t="e">
        <f t="shared" si="55"/>
        <v>#N/A</v>
      </c>
      <c r="U187" s="239" t="e">
        <f t="shared" si="56"/>
        <v>#N/A</v>
      </c>
      <c r="V187" s="240">
        <f t="shared" si="57"/>
        <v>-42.501588099192467</v>
      </c>
      <c r="W187" s="240">
        <f t="shared" si="58"/>
        <v>-40.972682365584141</v>
      </c>
      <c r="X187" s="240"/>
      <c r="Y187" s="299"/>
    </row>
    <row r="188" spans="12:25" hidden="1">
      <c r="M188" s="306">
        <f t="shared" si="51"/>
        <v>-4.793629980669051</v>
      </c>
      <c r="N188" s="307">
        <f t="shared" si="46"/>
        <v>-5.2848633876561406</v>
      </c>
      <c r="O188" s="308">
        <f t="shared" si="52"/>
        <v>-8.3664626284987068E-2</v>
      </c>
      <c r="P188" s="235" t="e">
        <f t="shared" si="53"/>
        <v>#N/A</v>
      </c>
      <c r="Q188" s="236" t="e">
        <f t="shared" si="54"/>
        <v>#N/A</v>
      </c>
      <c r="R188" s="236">
        <f t="shared" si="49"/>
        <v>42.501588099192467</v>
      </c>
      <c r="S188" s="237">
        <f t="shared" si="50"/>
        <v>40.972682365584141</v>
      </c>
      <c r="T188" s="238" t="e">
        <f t="shared" si="55"/>
        <v>#N/A</v>
      </c>
      <c r="U188" s="239" t="e">
        <f t="shared" si="56"/>
        <v>#N/A</v>
      </c>
      <c r="V188" s="240">
        <f t="shared" si="57"/>
        <v>-42.501588099192467</v>
      </c>
      <c r="W188" s="240">
        <f t="shared" si="58"/>
        <v>-40.972682365584141</v>
      </c>
      <c r="X188" s="240"/>
      <c r="Y188" s="299"/>
    </row>
    <row r="189" spans="12:25" hidden="1">
      <c r="M189" s="306">
        <f t="shared" si="51"/>
        <v>-4.793629980669051</v>
      </c>
      <c r="N189" s="307">
        <f t="shared" si="46"/>
        <v>-5.5998887253974781</v>
      </c>
      <c r="O189" s="308">
        <f t="shared" si="52"/>
        <v>-8.3664626284987068E-2</v>
      </c>
      <c r="P189" s="235" t="e">
        <f t="shared" si="53"/>
        <v>#N/A</v>
      </c>
      <c r="Q189" s="236" t="e">
        <f t="shared" si="54"/>
        <v>#N/A</v>
      </c>
      <c r="R189" s="236">
        <f t="shared" si="49"/>
        <v>42.501588099192467</v>
      </c>
      <c r="S189" s="237">
        <f t="shared" si="50"/>
        <v>40.972682365584141</v>
      </c>
      <c r="T189" s="238" t="e">
        <f t="shared" si="55"/>
        <v>#N/A</v>
      </c>
      <c r="U189" s="239" t="e">
        <f t="shared" si="56"/>
        <v>#N/A</v>
      </c>
      <c r="V189" s="240">
        <f t="shared" si="57"/>
        <v>-42.501588099192467</v>
      </c>
      <c r="W189" s="240">
        <f t="shared" si="58"/>
        <v>-40.972682365584141</v>
      </c>
      <c r="X189" s="240"/>
      <c r="Y189" s="299"/>
    </row>
    <row r="190" spans="12:25">
      <c r="M190" s="306">
        <f t="shared" si="51"/>
        <v>-4.793629980669051</v>
      </c>
      <c r="N190" s="307">
        <f t="shared" si="46"/>
        <v>-5.9149140631388155</v>
      </c>
      <c r="O190" s="308">
        <f t="shared" si="52"/>
        <v>-8.3664626284987068E-2</v>
      </c>
      <c r="P190" s="235" t="e">
        <f t="shared" si="53"/>
        <v>#N/A</v>
      </c>
      <c r="Q190" s="236" t="e">
        <f t="shared" si="54"/>
        <v>#N/A</v>
      </c>
      <c r="R190" s="236">
        <f t="shared" si="49"/>
        <v>42.501588099192467</v>
      </c>
      <c r="S190" s="237">
        <f t="shared" si="50"/>
        <v>40.972682365584141</v>
      </c>
      <c r="T190" s="238" t="e">
        <f t="shared" si="55"/>
        <v>#N/A</v>
      </c>
      <c r="U190" s="239" t="e">
        <f t="shared" si="56"/>
        <v>#N/A</v>
      </c>
      <c r="V190" s="240">
        <f t="shared" si="57"/>
        <v>-42.501588099192467</v>
      </c>
      <c r="W190" s="240">
        <f t="shared" si="58"/>
        <v>-40.972682365584141</v>
      </c>
      <c r="X190" s="240"/>
      <c r="Y190" s="299"/>
    </row>
    <row r="191" spans="12:25" ht="17" thickBot="1">
      <c r="M191" s="306">
        <f t="shared" si="51"/>
        <v>-4.793629980669051</v>
      </c>
      <c r="N191" s="307">
        <f t="shared" si="46"/>
        <v>-6.229939400880153</v>
      </c>
      <c r="O191" s="308">
        <f t="shared" si="52"/>
        <v>-8.3664626284987068E-2</v>
      </c>
      <c r="P191" s="235" t="e">
        <f t="shared" si="53"/>
        <v>#N/A</v>
      </c>
      <c r="Q191" s="236" t="e">
        <f t="shared" si="54"/>
        <v>#N/A</v>
      </c>
      <c r="R191" s="236">
        <f t="shared" si="49"/>
        <v>42.501588099192467</v>
      </c>
      <c r="S191" s="237">
        <f t="shared" si="50"/>
        <v>40.972682365584141</v>
      </c>
      <c r="T191" s="238" t="e">
        <f t="shared" si="55"/>
        <v>#N/A</v>
      </c>
      <c r="U191" s="239" t="e">
        <f t="shared" si="56"/>
        <v>#N/A</v>
      </c>
      <c r="V191" s="240">
        <f t="shared" si="57"/>
        <v>-42.501588099192467</v>
      </c>
      <c r="W191" s="240">
        <f t="shared" si="58"/>
        <v>-40.972682365584141</v>
      </c>
      <c r="X191" s="240"/>
      <c r="Y191" s="299"/>
    </row>
    <row r="192" spans="12:25">
      <c r="L192" s="278">
        <f>IFERROR(-90+DEGREES(h_)+DEGREES(d_)+0.01,0)</f>
        <v>-4.793629980669051</v>
      </c>
      <c r="M192" s="306">
        <f t="shared" si="51"/>
        <v>-4.793629980669051</v>
      </c>
      <c r="N192" s="307">
        <f t="shared" si="46"/>
        <v>-6.5449647386214904</v>
      </c>
      <c r="O192" s="308">
        <f t="shared" si="52"/>
        <v>-8.3664626284987068E-2</v>
      </c>
      <c r="P192" s="235" t="e">
        <f t="shared" si="53"/>
        <v>#N/A</v>
      </c>
      <c r="Q192" s="236" t="e">
        <f t="shared" si="54"/>
        <v>#N/A</v>
      </c>
      <c r="R192" s="236">
        <f t="shared" si="49"/>
        <v>42.501588099192467</v>
      </c>
      <c r="S192" s="237">
        <f t="shared" si="50"/>
        <v>40.972682365584141</v>
      </c>
      <c r="T192" s="238" t="e">
        <f t="shared" si="55"/>
        <v>#N/A</v>
      </c>
      <c r="U192" s="239" t="e">
        <f t="shared" si="56"/>
        <v>#N/A</v>
      </c>
      <c r="V192" s="240">
        <f t="shared" si="57"/>
        <v>-42.501588099192467</v>
      </c>
      <c r="W192" s="240">
        <f t="shared" si="58"/>
        <v>-40.972682365584141</v>
      </c>
      <c r="X192" s="240"/>
      <c r="Y192" s="299"/>
    </row>
    <row r="193" spans="12:25" ht="17" thickBot="1">
      <c r="L193" s="279">
        <f>IFERROR(-90+DEGREES(h)+DEGREES(d)+0.01,0)</f>
        <v>1.3284687049119788</v>
      </c>
      <c r="M193" s="309">
        <f t="shared" si="51"/>
        <v>-4.793629980669051</v>
      </c>
      <c r="N193" s="310">
        <f t="shared" si="46"/>
        <v>-6.8599900763628279</v>
      </c>
      <c r="O193" s="311">
        <f t="shared" si="52"/>
        <v>-8.3664626284987068E-2</v>
      </c>
      <c r="P193" s="280" t="e">
        <f t="shared" si="53"/>
        <v>#N/A</v>
      </c>
      <c r="Q193" s="281" t="e">
        <f t="shared" si="54"/>
        <v>#N/A</v>
      </c>
      <c r="R193" s="281">
        <f t="shared" si="49"/>
        <v>42.501588099192467</v>
      </c>
      <c r="S193" s="282">
        <f t="shared" si="50"/>
        <v>40.972682365584141</v>
      </c>
      <c r="T193" s="283" t="e">
        <f t="shared" si="55"/>
        <v>#N/A</v>
      </c>
      <c r="U193" s="284" t="e">
        <f t="shared" si="56"/>
        <v>#N/A</v>
      </c>
      <c r="V193" s="285">
        <f t="shared" si="57"/>
        <v>-42.501588099192467</v>
      </c>
      <c r="W193" s="285">
        <f t="shared" si="58"/>
        <v>-40.972682365584141</v>
      </c>
      <c r="X193" s="300"/>
      <c r="Y193" s="301"/>
    </row>
    <row r="194" spans="12:25">
      <c r="M194" s="292">
        <f>lat</f>
        <v>34.765106842149578</v>
      </c>
      <c r="N194" s="293"/>
      <c r="O194" s="294"/>
      <c r="P194" s="293"/>
      <c r="Q194" s="295"/>
      <c r="R194" s="295"/>
      <c r="S194" s="293"/>
      <c r="T194" s="296"/>
      <c r="U194" s="296"/>
      <c r="V194" s="297"/>
      <c r="W194" s="297"/>
      <c r="X194" s="319">
        <f>IFERROR(lon,#N/A)</f>
        <v>-12.649637282226893</v>
      </c>
      <c r="Y194" s="298"/>
    </row>
    <row r="195" spans="12:25">
      <c r="M195" s="312">
        <f>d°</f>
        <v>23.065217009064256</v>
      </c>
      <c r="N195" s="313"/>
      <c r="O195" s="313"/>
      <c r="P195" s="313"/>
      <c r="Q195" s="313"/>
      <c r="R195" s="313"/>
      <c r="S195" s="313"/>
      <c r="T195" s="313"/>
      <c r="U195" s="313"/>
      <c r="V195" s="313"/>
      <c r="W195" s="313"/>
      <c r="X195" s="313"/>
      <c r="Y195" s="314">
        <f>IF(Grt°&lt;180,-Grt°,360-Grt°)</f>
        <v>8.6182808440917142</v>
      </c>
    </row>
    <row r="196" spans="12:25" ht="17" thickBot="1">
      <c r="M196" s="315">
        <f>d°_</f>
        <v>23.075110281141541</v>
      </c>
      <c r="N196" s="316"/>
      <c r="O196" s="316"/>
      <c r="P196" s="317"/>
      <c r="Q196" s="317"/>
      <c r="R196" s="317"/>
      <c r="S196" s="317"/>
      <c r="T196" s="317"/>
      <c r="U196" s="317"/>
      <c r="V196" s="317"/>
      <c r="W196" s="317"/>
      <c r="X196" s="317"/>
      <c r="Y196" s="318">
        <f>IF(Grt°_&lt;180,-Grt°_,360-Grt°_)</f>
        <v>-41.737135232388304</v>
      </c>
    </row>
    <row r="197" spans="12:25">
      <c r="M197" s="286"/>
      <c r="N197" s="286"/>
      <c r="O197" s="286"/>
      <c r="P197" s="286"/>
      <c r="Q197" s="286"/>
      <c r="R197" s="286"/>
      <c r="S197" s="286"/>
      <c r="T197" s="286"/>
      <c r="U197" s="286"/>
      <c r="V197" s="286"/>
      <c r="W197" s="286"/>
      <c r="X197" s="286"/>
      <c r="Y197" s="286"/>
    </row>
  </sheetData>
  <sheetProtection algorithmName="SHA-512" hashValue="giAoF6syOYFcl86cssZHcknhrWSOUXJgzfiLpmcjfnFu5QXZth9HzvrSm9r46RDevjnxluWrScJ0L0mpjOM20g==" saltValue="1PGPY9LZfqqUnDTJetQ+9w==" spinCount="100000" sheet="1" objects="1" scenarios="1" selectLockedCells="1" selectUnlockedCells="1"/>
  <mergeCells count="1">
    <mergeCell ref="H2:J2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84</vt:i4>
      </vt:variant>
    </vt:vector>
  </HeadingPairs>
  <TitlesOfParts>
    <vt:vector size="87" baseType="lpstr">
      <vt:lpstr>Navigation</vt:lpstr>
      <vt:lpstr>Standortgrafik</vt:lpstr>
      <vt:lpstr>globale Grafik</vt:lpstr>
      <vt:lpstr>_A1</vt:lpstr>
      <vt:lpstr>_A2</vt:lpstr>
      <vt:lpstr>_A3</vt:lpstr>
      <vt:lpstr>_A4</vt:lpstr>
      <vt:lpstr>_B1</vt:lpstr>
      <vt:lpstr>_B2</vt:lpstr>
      <vt:lpstr>_B3</vt:lpstr>
      <vt:lpstr>_B4</vt:lpstr>
      <vt:lpstr>_dek1</vt:lpstr>
      <vt:lpstr>_l</vt:lpstr>
      <vt:lpstr>_ls</vt:lpstr>
      <vt:lpstr>_p1</vt:lpstr>
      <vt:lpstr>_p2</vt:lpstr>
      <vt:lpstr>_s1</vt:lpstr>
      <vt:lpstr>_s1v</vt:lpstr>
      <vt:lpstr>_s2</vt:lpstr>
      <vt:lpstr>_T1</vt:lpstr>
      <vt:lpstr>_T2</vt:lpstr>
      <vt:lpstr>add</vt:lpstr>
      <vt:lpstr>Az</vt:lpstr>
      <vt:lpstr>Az_°</vt:lpstr>
      <vt:lpstr>Az°</vt:lpstr>
      <vt:lpstr>B</vt:lpstr>
      <vt:lpstr>B_</vt:lpstr>
      <vt:lpstr>BB</vt:lpstr>
      <vt:lpstr>cmg</vt:lpstr>
      <vt:lpstr>d</vt:lpstr>
      <vt:lpstr>d_</vt:lpstr>
      <vt:lpstr>d°</vt:lpstr>
      <vt:lpstr>d°_</vt:lpstr>
      <vt:lpstr>dat</vt:lpstr>
      <vt:lpstr>dat_</vt:lpstr>
      <vt:lpstr>deka</vt:lpstr>
      <vt:lpstr>dira</vt:lpstr>
      <vt:lpstr>dmg</vt:lpstr>
      <vt:lpstr>F</vt:lpstr>
      <vt:lpstr>G</vt:lpstr>
      <vt:lpstr>grt</vt:lpstr>
      <vt:lpstr>grt_</vt:lpstr>
      <vt:lpstr>Grt°</vt:lpstr>
      <vt:lpstr>Grt°_</vt:lpstr>
      <vt:lpstr>grta</vt:lpstr>
      <vt:lpstr>Gs</vt:lpstr>
      <vt:lpstr>h</vt:lpstr>
      <vt:lpstr>h_</vt:lpstr>
      <vt:lpstr>h_°</vt:lpstr>
      <vt:lpstr>h°</vt:lpstr>
      <vt:lpstr>hma</vt:lpstr>
      <vt:lpstr>hmav</vt:lpstr>
      <vt:lpstr>hs</vt:lpstr>
      <vt:lpstr>hs°</vt:lpstr>
      <vt:lpstr>j</vt:lpstr>
      <vt:lpstr>js</vt:lpstr>
      <vt:lpstr>K</vt:lpstr>
      <vt:lpstr>lam0</vt:lpstr>
      <vt:lpstr>lam0s</vt:lpstr>
      <vt:lpstr>lat</vt:lpstr>
      <vt:lpstr>lat°</vt:lpstr>
      <vt:lpstr>LHA</vt:lpstr>
      <vt:lpstr>LHA_</vt:lpstr>
      <vt:lpstr>LHA°</vt:lpstr>
      <vt:lpstr>LHA°_</vt:lpstr>
      <vt:lpstr>LHAa</vt:lpstr>
      <vt:lpstr>lon</vt:lpstr>
      <vt:lpstr>ls</vt:lpstr>
      <vt:lpstr>maxn</vt:lpstr>
      <vt:lpstr>maxs</vt:lpstr>
      <vt:lpstr>minn</vt:lpstr>
      <vt:lpstr>mins</vt:lpstr>
      <vt:lpstr>ot</vt:lpstr>
      <vt:lpstr>ot_</vt:lpstr>
      <vt:lpstr>P</vt:lpstr>
      <vt:lpstr>q</vt:lpstr>
      <vt:lpstr>ref</vt:lpstr>
      <vt:lpstr>step</vt:lpstr>
      <vt:lpstr>t</vt:lpstr>
      <vt:lpstr>TG</vt:lpstr>
      <vt:lpstr>V</vt:lpstr>
      <vt:lpstr>var</vt:lpstr>
      <vt:lpstr>vb</vt:lpstr>
      <vt:lpstr>vl</vt:lpstr>
      <vt:lpstr>W</vt:lpstr>
      <vt:lpstr>Ws</vt:lpstr>
      <vt:lpstr>z_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Helmut Hoffrichter</cp:lastModifiedBy>
  <dcterms:created xsi:type="dcterms:W3CDTF">2018-01-04T14:37:05Z</dcterms:created>
  <dcterms:modified xsi:type="dcterms:W3CDTF">2025-06-28T12:18:00Z</dcterms:modified>
</cp:coreProperties>
</file>