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8_{D6E98304-D3F6-BD4B-A417-E6E1E896CC62}" xr6:coauthVersionLast="36" xr6:coauthVersionMax="36" xr10:uidLastSave="{00000000-0000-0000-0000-000000000000}"/>
  <bookViews>
    <workbookView xWindow="39520" yWindow="1020" windowWidth="38080" windowHeight="20780" tabRatio="500" xr2:uid="{00000000-000D-0000-FFFF-FFFF00000000}"/>
  </bookViews>
  <sheets>
    <sheet name="Navigation" sheetId="7" r:id="rId1"/>
    <sheet name="Standortgrafik" sheetId="2" r:id="rId2"/>
    <sheet name="globale Grafik" sheetId="4" r:id="rId3"/>
  </sheets>
  <definedNames>
    <definedName name="_A1">Navigation!$K$18</definedName>
    <definedName name="_A2">Navigation!$K$19</definedName>
    <definedName name="_A3">Navigation!$K$20</definedName>
    <definedName name="_A4">Navigation!$K$21</definedName>
    <definedName name="_B1">Navigation!$K$23</definedName>
    <definedName name="_B2">Navigation!$K$24</definedName>
    <definedName name="_B3">Navigation!$K$25</definedName>
    <definedName name="_B4">Navigation!$K$26</definedName>
    <definedName name="_dek1">Navigation!$AB$8</definedName>
    <definedName name="_l">Navigation!$V$16</definedName>
    <definedName name="_ls">Navigation!$V$24</definedName>
    <definedName name="_p1">Navigation!$AC$10</definedName>
    <definedName name="_p2">Navigation!$AC$11</definedName>
    <definedName name="_s1">Navigation!$AC$12</definedName>
    <definedName name="_s1v">Navigation!$AB$30</definedName>
    <definedName name="_s2">Navigation!$AC$13</definedName>
    <definedName name="_T1">Navigation!$N$18</definedName>
    <definedName name="_T2">Navigation!$O$18</definedName>
    <definedName name="add">'globale Grafik'!$AE$16</definedName>
    <definedName name="Az">Navigation!$V$18</definedName>
    <definedName name="Az_°">Navigation!$U$29</definedName>
    <definedName name="Az°">Navigation!$U$18</definedName>
    <definedName name="B">Standortgrafik!$M$12</definedName>
    <definedName name="B_">Standortgrafik!$M$13</definedName>
    <definedName name="BB">Navigation!$V$37</definedName>
    <definedName name="cmg">Navigation!$H$17</definedName>
    <definedName name="d">Navigation!$N$29</definedName>
    <definedName name="d_">Navigation!$O$29</definedName>
    <definedName name="d°">Navigation!$N$31</definedName>
    <definedName name="d°_">Navigation!$O$31</definedName>
    <definedName name="dat">Navigation!$G$12</definedName>
    <definedName name="dat_">Navigation!$G$20</definedName>
    <definedName name="deka">Navigation!$W$29</definedName>
    <definedName name="dira">Navigation!$V$17</definedName>
    <definedName name="dmg">Navigation!$C$17</definedName>
    <definedName name="F">Navigation!$V$10</definedName>
    <definedName name="G">Navigation!$V$13</definedName>
    <definedName name="grt">Navigation!$N$28</definedName>
    <definedName name="grt_">Navigation!$O$28</definedName>
    <definedName name="Grt°">Navigation!$N$30</definedName>
    <definedName name="Grt°_">Navigation!$O$30</definedName>
    <definedName name="grta">Navigation!$W$28</definedName>
    <definedName name="Gs">Navigation!$V$21</definedName>
    <definedName name="h">Navigation!$L$13</definedName>
    <definedName name="h_">Navigation!$N$13</definedName>
    <definedName name="h_°">Navigation!$N$11</definedName>
    <definedName name="h°">Navigation!$L$11</definedName>
    <definedName name="hma">Navigation!$M$13</definedName>
    <definedName name="hmav">Navigation!$AB$29</definedName>
    <definedName name="hs">Navigation!$V$19</definedName>
    <definedName name="hs°">Navigation!$U$19</definedName>
    <definedName name="j">Navigation!$V$15</definedName>
    <definedName name="js">Navigation!$V$23</definedName>
    <definedName name="K">Navigation!$V$7</definedName>
    <definedName name="lam0">Navigation!$V$14</definedName>
    <definedName name="lam0s">Navigation!$V$22</definedName>
    <definedName name="lat">Navigation!$U$23</definedName>
    <definedName name="lat°">Navigation!$U$15</definedName>
    <definedName name="LHA">Navigation!$V$17</definedName>
    <definedName name="LHA_">Navigation!$V$28</definedName>
    <definedName name="LHA°">Navigation!$U$17</definedName>
    <definedName name="LHA°_">Navigation!$U$28</definedName>
    <definedName name="LHAa">Navigation!$AA$27</definedName>
    <definedName name="lon">Navigation!$U$25</definedName>
    <definedName name="ls">Navigation!$V$25</definedName>
    <definedName name="maxn">'globale Grafik'!$AE$6</definedName>
    <definedName name="maxs">'globale Grafik'!$AE$9</definedName>
    <definedName name="minn">'globale Grafik'!$AE$8</definedName>
    <definedName name="mins">'globale Grafik'!$AE$7</definedName>
    <definedName name="ot">Navigation!$G$13</definedName>
    <definedName name="ot_">Navigation!$G$21</definedName>
    <definedName name="P">Navigation!$U$6</definedName>
    <definedName name="q">Navigation!$V$9</definedName>
    <definedName name="ref">Navigation!$K$28</definedName>
    <definedName name="step">'globale Grafik'!$AE$17</definedName>
    <definedName name="t">Navigation!$AC$14</definedName>
    <definedName name="TG">Navigation!$F$20</definedName>
    <definedName name="V">Navigation!$V$11</definedName>
    <definedName name="var">Navigation!$U$6</definedName>
    <definedName name="vb">Standortgrafik!$O$9</definedName>
    <definedName name="vl">Standortgrafik!$O$10</definedName>
    <definedName name="W">Navigation!$V$12</definedName>
    <definedName name="Ws">Navigation!$V$20</definedName>
    <definedName name="z_">Navigation!$V$29</definedName>
  </definedNames>
  <calcPr calcId="181029"/>
  <extLs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U6" i="7" l="1"/>
  <c r="N18" i="7"/>
  <c r="C9" i="7"/>
  <c r="C21" i="7" l="1"/>
  <c r="D22" i="7"/>
  <c r="F14" i="7"/>
  <c r="F13" i="7"/>
  <c r="F20" i="7" l="1"/>
  <c r="E21" i="7" l="1"/>
  <c r="E22" i="7"/>
  <c r="M11" i="2" l="1"/>
  <c r="M10" i="2" l="1"/>
  <c r="M9" i="2"/>
  <c r="O9" i="2" s="1"/>
  <c r="E29" i="7" l="1"/>
  <c r="C29" i="7"/>
  <c r="K21" i="7"/>
  <c r="R20" i="7"/>
  <c r="K20" i="7"/>
  <c r="N22" i="7" s="1"/>
  <c r="K19" i="7"/>
  <c r="N20" i="7" s="1"/>
  <c r="K18" i="7"/>
  <c r="N19" i="7" s="1"/>
  <c r="N10" i="7"/>
  <c r="L10" i="7"/>
  <c r="Q8" i="7"/>
  <c r="Q9" i="7" s="1"/>
  <c r="N7" i="7"/>
  <c r="N8" i="7" s="1"/>
  <c r="L7" i="7"/>
  <c r="L8" i="7" s="1"/>
  <c r="H5" i="7"/>
  <c r="N21" i="7" l="1"/>
  <c r="N23" i="7" s="1"/>
  <c r="N24" i="7" s="1"/>
  <c r="N25" i="7"/>
  <c r="O18" i="7"/>
  <c r="Q10" i="7"/>
  <c r="Q11" i="7" s="1"/>
  <c r="Q12" i="7" s="1"/>
  <c r="Q13" i="7" s="1"/>
  <c r="Q14" i="7" s="1"/>
  <c r="Q15" i="7" s="1"/>
  <c r="Q16" i="7" s="1"/>
  <c r="Q17" i="7" s="1"/>
  <c r="Q18" i="7" s="1"/>
  <c r="N9" i="7"/>
  <c r="N11" i="7" s="1"/>
  <c r="N13" i="7" s="1"/>
  <c r="O19" i="7" l="1"/>
  <c r="O25" i="7"/>
  <c r="N29" i="7"/>
  <c r="O20" i="7"/>
  <c r="O22" i="7"/>
  <c r="N12" i="7"/>
  <c r="E34" i="7" s="1"/>
  <c r="L9" i="7"/>
  <c r="L11" i="7" s="1"/>
  <c r="O21" i="7" l="1"/>
  <c r="O23" i="7" s="1"/>
  <c r="O24" i="7" s="1"/>
  <c r="N26" i="7"/>
  <c r="N27" i="7" s="1"/>
  <c r="N28" i="7" s="1"/>
  <c r="N31" i="7"/>
  <c r="O12" i="7"/>
  <c r="G34" i="7" s="1"/>
  <c r="L13" i="7"/>
  <c r="L8" i="4" s="1"/>
  <c r="L12" i="7"/>
  <c r="C34" i="7" s="1"/>
  <c r="M195" i="4" l="1"/>
  <c r="C31" i="7"/>
  <c r="D31" i="7" s="1"/>
  <c r="O29" i="7"/>
  <c r="O26" i="7"/>
  <c r="O27" i="7" s="1"/>
  <c r="O28" i="7" s="1"/>
  <c r="M12" i="7"/>
  <c r="D34" i="7" s="1"/>
  <c r="N30" i="7" l="1"/>
  <c r="C30" i="7" s="1"/>
  <c r="D30" i="7" s="1"/>
  <c r="L9" i="4"/>
  <c r="AE6" i="4" s="1"/>
  <c r="O31" i="7"/>
  <c r="V9" i="7" l="1"/>
  <c r="V10" i="7" s="1"/>
  <c r="V11" i="7" s="1"/>
  <c r="V12" i="7" s="1"/>
  <c r="O30" i="7"/>
  <c r="E31" i="7"/>
  <c r="G31" i="7" s="1"/>
  <c r="U9" i="7" l="1"/>
  <c r="E30" i="7"/>
  <c r="G30" i="7" s="1"/>
  <c r="M8" i="2" l="1"/>
  <c r="M7" i="2"/>
  <c r="Y195" i="4" l="1"/>
  <c r="L193" i="4" l="1"/>
  <c r="Y196" i="4"/>
  <c r="M196" i="4"/>
  <c r="L192" i="4" l="1"/>
  <c r="AE9" i="4" s="1"/>
  <c r="AE7" i="4" l="1"/>
  <c r="AE12" i="4" s="1"/>
  <c r="AE8" i="4"/>
  <c r="AE10" i="4" s="1"/>
  <c r="AE11" i="4" l="1"/>
  <c r="AE13" i="4" s="1"/>
  <c r="AE15" i="4" l="1"/>
  <c r="AE16" i="4" l="1"/>
  <c r="AE17" i="4"/>
  <c r="N7" i="4" l="1"/>
  <c r="N8" i="4" s="1"/>
  <c r="M8" i="4" s="1"/>
  <c r="O8" i="4" s="1"/>
  <c r="P8" i="4" l="1"/>
  <c r="T8" i="4" s="1"/>
  <c r="N9" i="4"/>
  <c r="M9" i="4" s="1"/>
  <c r="O9" i="4" s="1"/>
  <c r="P9" i="4" s="1"/>
  <c r="T9" i="4" s="1"/>
  <c r="R8" i="4"/>
  <c r="V8" i="4" s="1"/>
  <c r="S8" i="4"/>
  <c r="W8" i="4" s="1"/>
  <c r="Q8" i="4"/>
  <c r="U8" i="4" s="1"/>
  <c r="Q9" i="4" l="1"/>
  <c r="U9" i="4" s="1"/>
  <c r="S9" i="4"/>
  <c r="W9" i="4" s="1"/>
  <c r="R9" i="4"/>
  <c r="V9" i="4" s="1"/>
  <c r="N10" i="4"/>
  <c r="M10" i="4" s="1"/>
  <c r="O10" i="4" s="1"/>
  <c r="Q10" i="4" s="1"/>
  <c r="U10" i="4" s="1"/>
  <c r="N11" i="4" l="1"/>
  <c r="M11" i="4" s="1"/>
  <c r="O11" i="4" s="1"/>
  <c r="P11" i="4" s="1"/>
  <c r="T11" i="4" s="1"/>
  <c r="P10" i="4"/>
  <c r="T10" i="4" s="1"/>
  <c r="R10" i="4"/>
  <c r="V10" i="4" s="1"/>
  <c r="S10" i="4"/>
  <c r="W10" i="4" s="1"/>
  <c r="Q11" i="4" l="1"/>
  <c r="U11" i="4" s="1"/>
  <c r="N12" i="4"/>
  <c r="M12" i="4" s="1"/>
  <c r="O12" i="4" s="1"/>
  <c r="S12" i="4" s="1"/>
  <c r="W12" i="4" s="1"/>
  <c r="S11" i="4"/>
  <c r="W11" i="4" s="1"/>
  <c r="R11" i="4"/>
  <c r="V11" i="4" s="1"/>
  <c r="Q12" i="4" l="1"/>
  <c r="U12" i="4" s="1"/>
  <c r="P12" i="4"/>
  <c r="T12" i="4" s="1"/>
  <c r="R12" i="4"/>
  <c r="V12" i="4" s="1"/>
  <c r="N13" i="4"/>
  <c r="M13" i="4" s="1"/>
  <c r="O13" i="4" s="1"/>
  <c r="P13" i="4" s="1"/>
  <c r="T13" i="4" s="1"/>
  <c r="S13" i="4" l="1"/>
  <c r="W13" i="4" s="1"/>
  <c r="R13" i="4"/>
  <c r="V13" i="4" s="1"/>
  <c r="N14" i="4"/>
  <c r="M14" i="4" s="1"/>
  <c r="O14" i="4" s="1"/>
  <c r="R14" i="4" s="1"/>
  <c r="V14" i="4" s="1"/>
  <c r="Q13" i="4"/>
  <c r="U13" i="4" s="1"/>
  <c r="N15" i="4" l="1"/>
  <c r="N16" i="4" s="1"/>
  <c r="N17" i="4" s="1"/>
  <c r="Q14" i="4"/>
  <c r="U14" i="4" s="1"/>
  <c r="S14" i="4"/>
  <c r="W14" i="4" s="1"/>
  <c r="P14" i="4"/>
  <c r="T14" i="4" s="1"/>
  <c r="M16" i="4" l="1"/>
  <c r="O16" i="4" s="1"/>
  <c r="P16" i="4" s="1"/>
  <c r="T16" i="4" s="1"/>
  <c r="M15" i="4"/>
  <c r="O15" i="4" s="1"/>
  <c r="S15" i="4" s="1"/>
  <c r="W15" i="4" s="1"/>
  <c r="M17" i="4"/>
  <c r="O17" i="4" s="1"/>
  <c r="N18" i="4"/>
  <c r="S16" i="4" l="1"/>
  <c r="W16" i="4" s="1"/>
  <c r="Q16" i="4"/>
  <c r="U16" i="4" s="1"/>
  <c r="R16" i="4"/>
  <c r="V16" i="4" s="1"/>
  <c r="R15" i="4"/>
  <c r="V15" i="4" s="1"/>
  <c r="P15" i="4"/>
  <c r="T15" i="4" s="1"/>
  <c r="Q15" i="4"/>
  <c r="U15" i="4" s="1"/>
  <c r="P17" i="4"/>
  <c r="T17" i="4" s="1"/>
  <c r="Q17" i="4"/>
  <c r="U17" i="4" s="1"/>
  <c r="R17" i="4"/>
  <c r="V17" i="4" s="1"/>
  <c r="S17" i="4"/>
  <c r="W17" i="4" s="1"/>
  <c r="N19" i="4"/>
  <c r="M18" i="4"/>
  <c r="O18" i="4" s="1"/>
  <c r="S18" i="4" l="1"/>
  <c r="W18" i="4" s="1"/>
  <c r="R18" i="4"/>
  <c r="V18" i="4" s="1"/>
  <c r="P18" i="4"/>
  <c r="T18" i="4" s="1"/>
  <c r="Q18" i="4"/>
  <c r="U18" i="4" s="1"/>
  <c r="N20" i="4"/>
  <c r="M19" i="4"/>
  <c r="O19" i="4" s="1"/>
  <c r="R19" i="4" l="1"/>
  <c r="V19" i="4" s="1"/>
  <c r="P19" i="4"/>
  <c r="T19" i="4" s="1"/>
  <c r="Q19" i="4"/>
  <c r="U19" i="4" s="1"/>
  <c r="S19" i="4"/>
  <c r="W19" i="4" s="1"/>
  <c r="N21" i="4"/>
  <c r="M20" i="4"/>
  <c r="O20" i="4" s="1"/>
  <c r="P20" i="4" l="1"/>
  <c r="T20" i="4" s="1"/>
  <c r="Q20" i="4"/>
  <c r="U20" i="4" s="1"/>
  <c r="R20" i="4"/>
  <c r="V20" i="4" s="1"/>
  <c r="S20" i="4"/>
  <c r="W20" i="4" s="1"/>
  <c r="N22" i="4"/>
  <c r="M21" i="4"/>
  <c r="O21" i="4" s="1"/>
  <c r="Q21" i="4" l="1"/>
  <c r="U21" i="4" s="1"/>
  <c r="S21" i="4"/>
  <c r="W21" i="4" s="1"/>
  <c r="P21" i="4"/>
  <c r="T21" i="4" s="1"/>
  <c r="R21" i="4"/>
  <c r="V21" i="4" s="1"/>
  <c r="M22" i="4"/>
  <c r="O22" i="4" s="1"/>
  <c r="N23" i="4"/>
  <c r="N24" i="4" l="1"/>
  <c r="M23" i="4"/>
  <c r="O23" i="4" s="1"/>
  <c r="Q22" i="4"/>
  <c r="U22" i="4" s="1"/>
  <c r="S22" i="4"/>
  <c r="W22" i="4" s="1"/>
  <c r="P22" i="4"/>
  <c r="T22" i="4" s="1"/>
  <c r="R22" i="4"/>
  <c r="V22" i="4" s="1"/>
  <c r="S23" i="4" l="1"/>
  <c r="W23" i="4" s="1"/>
  <c r="R23" i="4"/>
  <c r="V23" i="4" s="1"/>
  <c r="P23" i="4"/>
  <c r="T23" i="4" s="1"/>
  <c r="Q23" i="4"/>
  <c r="U23" i="4" s="1"/>
  <c r="N25" i="4"/>
  <c r="M24" i="4"/>
  <c r="O24" i="4" s="1"/>
  <c r="R24" i="4" l="1"/>
  <c r="V24" i="4" s="1"/>
  <c r="S24" i="4"/>
  <c r="W24" i="4" s="1"/>
  <c r="P24" i="4"/>
  <c r="T24" i="4" s="1"/>
  <c r="Q24" i="4"/>
  <c r="U24" i="4" s="1"/>
  <c r="N26" i="4"/>
  <c r="M25" i="4"/>
  <c r="O25" i="4" s="1"/>
  <c r="N27" i="4" l="1"/>
  <c r="M26" i="4"/>
  <c r="O26" i="4" s="1"/>
  <c r="S25" i="4"/>
  <c r="W25" i="4" s="1"/>
  <c r="P25" i="4"/>
  <c r="T25" i="4" s="1"/>
  <c r="Q25" i="4"/>
  <c r="U25" i="4" s="1"/>
  <c r="R25" i="4"/>
  <c r="V25" i="4" s="1"/>
  <c r="Q26" i="4" l="1"/>
  <c r="U26" i="4" s="1"/>
  <c r="R26" i="4"/>
  <c r="V26" i="4" s="1"/>
  <c r="P26" i="4"/>
  <c r="T26" i="4" s="1"/>
  <c r="S26" i="4"/>
  <c r="W26" i="4" s="1"/>
  <c r="N28" i="4"/>
  <c r="M27" i="4"/>
  <c r="O27" i="4" s="1"/>
  <c r="Q27" i="4" l="1"/>
  <c r="U27" i="4" s="1"/>
  <c r="R27" i="4"/>
  <c r="V27" i="4" s="1"/>
  <c r="P27" i="4"/>
  <c r="T27" i="4" s="1"/>
  <c r="S27" i="4"/>
  <c r="W27" i="4" s="1"/>
  <c r="N29" i="4"/>
  <c r="M28" i="4"/>
  <c r="O28" i="4" s="1"/>
  <c r="N30" i="4" l="1"/>
  <c r="M29" i="4"/>
  <c r="O29" i="4" s="1"/>
  <c r="S28" i="4"/>
  <c r="W28" i="4" s="1"/>
  <c r="R28" i="4"/>
  <c r="V28" i="4" s="1"/>
  <c r="P28" i="4"/>
  <c r="T28" i="4" s="1"/>
  <c r="Q28" i="4"/>
  <c r="U28" i="4" s="1"/>
  <c r="N31" i="4" l="1"/>
  <c r="M30" i="4"/>
  <c r="O30" i="4" s="1"/>
  <c r="R29" i="4"/>
  <c r="V29" i="4" s="1"/>
  <c r="P29" i="4"/>
  <c r="T29" i="4" s="1"/>
  <c r="Q29" i="4"/>
  <c r="U29" i="4" s="1"/>
  <c r="S29" i="4"/>
  <c r="W29" i="4" s="1"/>
  <c r="Q30" i="4" l="1"/>
  <c r="U30" i="4" s="1"/>
  <c r="R30" i="4"/>
  <c r="V30" i="4" s="1"/>
  <c r="S30" i="4"/>
  <c r="W30" i="4" s="1"/>
  <c r="P30" i="4"/>
  <c r="T30" i="4" s="1"/>
  <c r="M31" i="4"/>
  <c r="O31" i="4" s="1"/>
  <c r="N32" i="4"/>
  <c r="M32" i="4" l="1"/>
  <c r="O32" i="4" s="1"/>
  <c r="N33" i="4"/>
  <c r="P31" i="4"/>
  <c r="T31" i="4" s="1"/>
  <c r="Q31" i="4"/>
  <c r="U31" i="4" s="1"/>
  <c r="R31" i="4"/>
  <c r="V31" i="4" s="1"/>
  <c r="S31" i="4"/>
  <c r="W31" i="4" s="1"/>
  <c r="M33" i="4" l="1"/>
  <c r="O33" i="4" s="1"/>
  <c r="N34" i="4"/>
  <c r="S32" i="4"/>
  <c r="W32" i="4" s="1"/>
  <c r="Q32" i="4"/>
  <c r="U32" i="4" s="1"/>
  <c r="P32" i="4"/>
  <c r="T32" i="4" s="1"/>
  <c r="R32" i="4"/>
  <c r="V32" i="4" s="1"/>
  <c r="N35" i="4" l="1"/>
  <c r="M34" i="4"/>
  <c r="O34" i="4" s="1"/>
  <c r="Q33" i="4"/>
  <c r="U33" i="4" s="1"/>
  <c r="R33" i="4"/>
  <c r="V33" i="4" s="1"/>
  <c r="S33" i="4"/>
  <c r="W33" i="4" s="1"/>
  <c r="P33" i="4"/>
  <c r="T33" i="4" s="1"/>
  <c r="P34" i="4" l="1"/>
  <c r="T34" i="4" s="1"/>
  <c r="Q34" i="4"/>
  <c r="U34" i="4" s="1"/>
  <c r="S34" i="4"/>
  <c r="W34" i="4" s="1"/>
  <c r="R34" i="4"/>
  <c r="V34" i="4" s="1"/>
  <c r="N36" i="4"/>
  <c r="M35" i="4"/>
  <c r="O35" i="4" s="1"/>
  <c r="R35" i="4" l="1"/>
  <c r="V35" i="4" s="1"/>
  <c r="Q35" i="4"/>
  <c r="U35" i="4" s="1"/>
  <c r="P35" i="4"/>
  <c r="T35" i="4" s="1"/>
  <c r="S35" i="4"/>
  <c r="W35" i="4" s="1"/>
  <c r="M36" i="4"/>
  <c r="O36" i="4" s="1"/>
  <c r="N37" i="4"/>
  <c r="N38" i="4" l="1"/>
  <c r="M37" i="4"/>
  <c r="O37" i="4" s="1"/>
  <c r="S36" i="4"/>
  <c r="W36" i="4" s="1"/>
  <c r="R36" i="4"/>
  <c r="V36" i="4" s="1"/>
  <c r="Q36" i="4"/>
  <c r="U36" i="4" s="1"/>
  <c r="P36" i="4"/>
  <c r="T36" i="4" s="1"/>
  <c r="M38" i="4" l="1"/>
  <c r="O38" i="4" s="1"/>
  <c r="S38" i="4" s="1"/>
  <c r="W38" i="4" s="1"/>
  <c r="N39" i="4"/>
  <c r="R37" i="4"/>
  <c r="V37" i="4" s="1"/>
  <c r="P37" i="4"/>
  <c r="T37" i="4" s="1"/>
  <c r="S37" i="4"/>
  <c r="W37" i="4" s="1"/>
  <c r="Q37" i="4"/>
  <c r="U37" i="4" s="1"/>
  <c r="Q38" i="4" l="1"/>
  <c r="U38" i="4" s="1"/>
  <c r="P38" i="4"/>
  <c r="T38" i="4" s="1"/>
  <c r="R38" i="4"/>
  <c r="V38" i="4" s="1"/>
  <c r="M39" i="4"/>
  <c r="O39" i="4" s="1"/>
  <c r="N40" i="4"/>
  <c r="M40" i="4" l="1"/>
  <c r="O40" i="4" s="1"/>
  <c r="N41" i="4"/>
  <c r="R39" i="4"/>
  <c r="V39" i="4" s="1"/>
  <c r="S39" i="4"/>
  <c r="W39" i="4" s="1"/>
  <c r="P39" i="4"/>
  <c r="T39" i="4" s="1"/>
  <c r="Q39" i="4"/>
  <c r="U39" i="4" s="1"/>
  <c r="N42" i="4" l="1"/>
  <c r="M41" i="4"/>
  <c r="O41" i="4" s="1"/>
  <c r="R40" i="4"/>
  <c r="V40" i="4" s="1"/>
  <c r="S40" i="4"/>
  <c r="W40" i="4" s="1"/>
  <c r="P40" i="4"/>
  <c r="T40" i="4" s="1"/>
  <c r="Q40" i="4"/>
  <c r="U40" i="4" s="1"/>
  <c r="S41" i="4" l="1"/>
  <c r="W41" i="4" s="1"/>
  <c r="R41" i="4"/>
  <c r="V41" i="4" s="1"/>
  <c r="P41" i="4"/>
  <c r="T41" i="4" s="1"/>
  <c r="Q41" i="4"/>
  <c r="U41" i="4" s="1"/>
  <c r="M42" i="4"/>
  <c r="O42" i="4" s="1"/>
  <c r="N43" i="4"/>
  <c r="M43" i="4" l="1"/>
  <c r="O43" i="4" s="1"/>
  <c r="N44" i="4"/>
  <c r="R42" i="4"/>
  <c r="V42" i="4" s="1"/>
  <c r="S42" i="4"/>
  <c r="W42" i="4" s="1"/>
  <c r="Q42" i="4"/>
  <c r="U42" i="4" s="1"/>
  <c r="P42" i="4"/>
  <c r="T42" i="4" s="1"/>
  <c r="N45" i="4" l="1"/>
  <c r="M44" i="4"/>
  <c r="O44" i="4" s="1"/>
  <c r="S43" i="4"/>
  <c r="W43" i="4" s="1"/>
  <c r="R43" i="4"/>
  <c r="V43" i="4" s="1"/>
  <c r="P43" i="4"/>
  <c r="T43" i="4" s="1"/>
  <c r="Q43" i="4"/>
  <c r="U43" i="4" s="1"/>
  <c r="R44" i="4" l="1"/>
  <c r="V44" i="4" s="1"/>
  <c r="S44" i="4"/>
  <c r="W44" i="4" s="1"/>
  <c r="P44" i="4"/>
  <c r="T44" i="4" s="1"/>
  <c r="Q44" i="4"/>
  <c r="U44" i="4" s="1"/>
  <c r="M45" i="4"/>
  <c r="O45" i="4" s="1"/>
  <c r="N46" i="4"/>
  <c r="N47" i="4" l="1"/>
  <c r="M46" i="4"/>
  <c r="O46" i="4" s="1"/>
  <c r="R45" i="4"/>
  <c r="V45" i="4" s="1"/>
  <c r="S45" i="4"/>
  <c r="W45" i="4" s="1"/>
  <c r="Q45" i="4"/>
  <c r="U45" i="4" s="1"/>
  <c r="P45" i="4"/>
  <c r="T45" i="4" s="1"/>
  <c r="R46" i="4" l="1"/>
  <c r="V46" i="4" s="1"/>
  <c r="S46" i="4"/>
  <c r="W46" i="4" s="1"/>
  <c r="P46" i="4"/>
  <c r="T46" i="4" s="1"/>
  <c r="Q46" i="4"/>
  <c r="U46" i="4" s="1"/>
  <c r="M47" i="4"/>
  <c r="O47" i="4" s="1"/>
  <c r="P47" i="4" s="1"/>
  <c r="N48" i="4"/>
  <c r="M48" i="4" l="1"/>
  <c r="O48" i="4" s="1"/>
  <c r="N49" i="4"/>
  <c r="S47" i="4"/>
  <c r="W47" i="4" s="1"/>
  <c r="R47" i="4"/>
  <c r="V47" i="4" s="1"/>
  <c r="T47" i="4"/>
  <c r="Q47" i="4"/>
  <c r="U47" i="4" s="1"/>
  <c r="N50" i="4" l="1"/>
  <c r="M49" i="4"/>
  <c r="O49" i="4" s="1"/>
  <c r="R48" i="4"/>
  <c r="V48" i="4" s="1"/>
  <c r="S48" i="4"/>
  <c r="W48" i="4" s="1"/>
  <c r="P48" i="4"/>
  <c r="T48" i="4" s="1"/>
  <c r="Q48" i="4"/>
  <c r="U48" i="4" s="1"/>
  <c r="S49" i="4" l="1"/>
  <c r="W49" i="4" s="1"/>
  <c r="R49" i="4"/>
  <c r="V49" i="4" s="1"/>
  <c r="Q49" i="4"/>
  <c r="U49" i="4" s="1"/>
  <c r="P49" i="4"/>
  <c r="T49" i="4" s="1"/>
  <c r="M50" i="4"/>
  <c r="O50" i="4" s="1"/>
  <c r="N51" i="4"/>
  <c r="M51" i="4" l="1"/>
  <c r="O51" i="4" s="1"/>
  <c r="N52" i="4"/>
  <c r="R50" i="4"/>
  <c r="V50" i="4" s="1"/>
  <c r="S50" i="4"/>
  <c r="W50" i="4" s="1"/>
  <c r="Q50" i="4"/>
  <c r="U50" i="4" s="1"/>
  <c r="P50" i="4"/>
  <c r="T50" i="4" s="1"/>
  <c r="M52" i="4" l="1"/>
  <c r="O52" i="4" s="1"/>
  <c r="N53" i="4"/>
  <c r="R51" i="4"/>
  <c r="V51" i="4" s="1"/>
  <c r="S51" i="4"/>
  <c r="W51" i="4" s="1"/>
  <c r="P51" i="4"/>
  <c r="T51" i="4" s="1"/>
  <c r="Q51" i="4"/>
  <c r="U51" i="4" s="1"/>
  <c r="M53" i="4" l="1"/>
  <c r="O53" i="4" s="1"/>
  <c r="N54" i="4"/>
  <c r="S52" i="4"/>
  <c r="W52" i="4" s="1"/>
  <c r="R52" i="4"/>
  <c r="V52" i="4" s="1"/>
  <c r="Q52" i="4"/>
  <c r="U52" i="4" s="1"/>
  <c r="P52" i="4"/>
  <c r="T52" i="4" s="1"/>
  <c r="N55" i="4" l="1"/>
  <c r="M54" i="4"/>
  <c r="O54" i="4" s="1"/>
  <c r="R53" i="4"/>
  <c r="V53" i="4" s="1"/>
  <c r="S53" i="4"/>
  <c r="W53" i="4" s="1"/>
  <c r="Q53" i="4"/>
  <c r="U53" i="4" s="1"/>
  <c r="P53" i="4"/>
  <c r="T53" i="4" s="1"/>
  <c r="R54" i="4" l="1"/>
  <c r="V54" i="4" s="1"/>
  <c r="S54" i="4"/>
  <c r="W54" i="4" s="1"/>
  <c r="P54" i="4"/>
  <c r="T54" i="4" s="1"/>
  <c r="Q54" i="4"/>
  <c r="U54" i="4" s="1"/>
  <c r="M55" i="4"/>
  <c r="O55" i="4" s="1"/>
  <c r="N56" i="4"/>
  <c r="S55" i="4" l="1"/>
  <c r="W55" i="4" s="1"/>
  <c r="R55" i="4"/>
  <c r="V55" i="4" s="1"/>
  <c r="P55" i="4"/>
  <c r="T55" i="4" s="1"/>
  <c r="Q55" i="4"/>
  <c r="U55" i="4" s="1"/>
  <c r="M56" i="4"/>
  <c r="O56" i="4" s="1"/>
  <c r="N57" i="4"/>
  <c r="N58" i="4" l="1"/>
  <c r="M57" i="4"/>
  <c r="O57" i="4" s="1"/>
  <c r="R56" i="4"/>
  <c r="V56" i="4" s="1"/>
  <c r="S56" i="4"/>
  <c r="W56" i="4" s="1"/>
  <c r="P56" i="4"/>
  <c r="T56" i="4" s="1"/>
  <c r="Q56" i="4"/>
  <c r="U56" i="4" s="1"/>
  <c r="R57" i="4" l="1"/>
  <c r="V57" i="4" s="1"/>
  <c r="S57" i="4"/>
  <c r="W57" i="4" s="1"/>
  <c r="Q57" i="4"/>
  <c r="U57" i="4" s="1"/>
  <c r="P57" i="4"/>
  <c r="T57" i="4" s="1"/>
  <c r="M58" i="4"/>
  <c r="O58" i="4" s="1"/>
  <c r="N59" i="4"/>
  <c r="N60" i="4" l="1"/>
  <c r="M59" i="4"/>
  <c r="O59" i="4" s="1"/>
  <c r="S58" i="4"/>
  <c r="W58" i="4" s="1"/>
  <c r="R58" i="4"/>
  <c r="V58" i="4" s="1"/>
  <c r="P58" i="4"/>
  <c r="T58" i="4" s="1"/>
  <c r="Q58" i="4"/>
  <c r="U58" i="4" s="1"/>
  <c r="R59" i="4" l="1"/>
  <c r="V59" i="4" s="1"/>
  <c r="S59" i="4"/>
  <c r="W59" i="4" s="1"/>
  <c r="Q59" i="4"/>
  <c r="U59" i="4" s="1"/>
  <c r="P59" i="4"/>
  <c r="T59" i="4" s="1"/>
  <c r="N61" i="4"/>
  <c r="M60" i="4"/>
  <c r="O60" i="4" s="1"/>
  <c r="R60" i="4" l="1"/>
  <c r="V60" i="4" s="1"/>
  <c r="S60" i="4"/>
  <c r="W60" i="4" s="1"/>
  <c r="P60" i="4"/>
  <c r="T60" i="4" s="1"/>
  <c r="Q60" i="4"/>
  <c r="U60" i="4" s="1"/>
  <c r="M61" i="4"/>
  <c r="O61" i="4" s="1"/>
  <c r="N62" i="4"/>
  <c r="N63" i="4" l="1"/>
  <c r="M62" i="4"/>
  <c r="O62" i="4" s="1"/>
  <c r="S61" i="4"/>
  <c r="W61" i="4" s="1"/>
  <c r="R61" i="4"/>
  <c r="V61" i="4" s="1"/>
  <c r="Q61" i="4"/>
  <c r="U61" i="4" s="1"/>
  <c r="P61" i="4"/>
  <c r="T61" i="4" s="1"/>
  <c r="S62" i="4" l="1"/>
  <c r="W62" i="4" s="1"/>
  <c r="R62" i="4"/>
  <c r="V62" i="4" s="1"/>
  <c r="Q62" i="4"/>
  <c r="U62" i="4" s="1"/>
  <c r="P62" i="4"/>
  <c r="T62" i="4" s="1"/>
  <c r="M63" i="4"/>
  <c r="O63" i="4" s="1"/>
  <c r="N64" i="4"/>
  <c r="M64" i="4" l="1"/>
  <c r="O64" i="4" s="1"/>
  <c r="N65" i="4"/>
  <c r="S63" i="4"/>
  <c r="W63" i="4" s="1"/>
  <c r="R63" i="4"/>
  <c r="V63" i="4" s="1"/>
  <c r="P63" i="4"/>
  <c r="T63" i="4" s="1"/>
  <c r="Q63" i="4"/>
  <c r="U63" i="4" s="1"/>
  <c r="N66" i="4" l="1"/>
  <c r="M65" i="4"/>
  <c r="O65" i="4" s="1"/>
  <c r="R64" i="4"/>
  <c r="V64" i="4" s="1"/>
  <c r="S64" i="4"/>
  <c r="W64" i="4" s="1"/>
  <c r="Q64" i="4"/>
  <c r="U64" i="4" s="1"/>
  <c r="P64" i="4"/>
  <c r="T64" i="4" s="1"/>
  <c r="R65" i="4" l="1"/>
  <c r="V65" i="4" s="1"/>
  <c r="S65" i="4"/>
  <c r="W65" i="4" s="1"/>
  <c r="P65" i="4"/>
  <c r="T65" i="4" s="1"/>
  <c r="Q65" i="4"/>
  <c r="U65" i="4" s="1"/>
  <c r="M66" i="4"/>
  <c r="O66" i="4" s="1"/>
  <c r="N67" i="4"/>
  <c r="M67" i="4" l="1"/>
  <c r="O67" i="4" s="1"/>
  <c r="N68" i="4"/>
  <c r="R66" i="4"/>
  <c r="V66" i="4" s="1"/>
  <c r="S66" i="4"/>
  <c r="W66" i="4" s="1"/>
  <c r="Q66" i="4"/>
  <c r="U66" i="4" s="1"/>
  <c r="P66" i="4"/>
  <c r="T66" i="4" s="1"/>
  <c r="N69" i="4" l="1"/>
  <c r="M68" i="4"/>
  <c r="O68" i="4" s="1"/>
  <c r="S67" i="4"/>
  <c r="W67" i="4" s="1"/>
  <c r="R67" i="4"/>
  <c r="V67" i="4" s="1"/>
  <c r="P67" i="4"/>
  <c r="T67" i="4" s="1"/>
  <c r="Q67" i="4"/>
  <c r="U67" i="4" s="1"/>
  <c r="S68" i="4" l="1"/>
  <c r="W68" i="4" s="1"/>
  <c r="R68" i="4"/>
  <c r="V68" i="4" s="1"/>
  <c r="P68" i="4"/>
  <c r="T68" i="4" s="1"/>
  <c r="Q68" i="4"/>
  <c r="U68" i="4" s="1"/>
  <c r="M69" i="4"/>
  <c r="O69" i="4" s="1"/>
  <c r="N70" i="4"/>
  <c r="M70" i="4" l="1"/>
  <c r="O70" i="4" s="1"/>
  <c r="N71" i="4"/>
  <c r="S69" i="4"/>
  <c r="W69" i="4" s="1"/>
  <c r="R69" i="4"/>
  <c r="V69" i="4" s="1"/>
  <c r="Q69" i="4"/>
  <c r="U69" i="4" s="1"/>
  <c r="P69" i="4"/>
  <c r="T69" i="4" s="1"/>
  <c r="N72" i="4" l="1"/>
  <c r="M71" i="4"/>
  <c r="O71" i="4" s="1"/>
  <c r="R70" i="4"/>
  <c r="V70" i="4" s="1"/>
  <c r="S70" i="4"/>
  <c r="W70" i="4" s="1"/>
  <c r="P70" i="4"/>
  <c r="T70" i="4" s="1"/>
  <c r="Q70" i="4"/>
  <c r="U70" i="4" s="1"/>
  <c r="R71" i="4" l="1"/>
  <c r="V71" i="4" s="1"/>
  <c r="S71" i="4"/>
  <c r="W71" i="4" s="1"/>
  <c r="Q71" i="4"/>
  <c r="U71" i="4" s="1"/>
  <c r="P71" i="4"/>
  <c r="T71" i="4" s="1"/>
  <c r="M72" i="4"/>
  <c r="O72" i="4" s="1"/>
  <c r="N73" i="4"/>
  <c r="M73" i="4" l="1"/>
  <c r="O73" i="4" s="1"/>
  <c r="N74" i="4"/>
  <c r="R72" i="4"/>
  <c r="V72" i="4" s="1"/>
  <c r="S72" i="4"/>
  <c r="W72" i="4" s="1"/>
  <c r="P72" i="4"/>
  <c r="T72" i="4" s="1"/>
  <c r="Q72" i="4"/>
  <c r="U72" i="4" s="1"/>
  <c r="M74" i="4" l="1"/>
  <c r="O74" i="4" s="1"/>
  <c r="N75" i="4"/>
  <c r="R73" i="4"/>
  <c r="V73" i="4" s="1"/>
  <c r="S73" i="4"/>
  <c r="W73" i="4" s="1"/>
  <c r="P73" i="4"/>
  <c r="T73" i="4" s="1"/>
  <c r="Q73" i="4"/>
  <c r="U73" i="4" s="1"/>
  <c r="N76" i="4" l="1"/>
  <c r="M75" i="4"/>
  <c r="O75" i="4" s="1"/>
  <c r="S74" i="4"/>
  <c r="W74" i="4" s="1"/>
  <c r="R74" i="4"/>
  <c r="V74" i="4" s="1"/>
  <c r="Q74" i="4"/>
  <c r="U74" i="4" s="1"/>
  <c r="P74" i="4"/>
  <c r="T74" i="4" s="1"/>
  <c r="S75" i="4" l="1"/>
  <c r="W75" i="4" s="1"/>
  <c r="R75" i="4"/>
  <c r="V75" i="4" s="1"/>
  <c r="P75" i="4"/>
  <c r="T75" i="4" s="1"/>
  <c r="Q75" i="4"/>
  <c r="U75" i="4" s="1"/>
  <c r="N77" i="4"/>
  <c r="M76" i="4"/>
  <c r="O76" i="4" s="1"/>
  <c r="S76" i="4" l="1"/>
  <c r="W76" i="4" s="1"/>
  <c r="R76" i="4"/>
  <c r="V76" i="4" s="1"/>
  <c r="P76" i="4"/>
  <c r="T76" i="4" s="1"/>
  <c r="Q76" i="4"/>
  <c r="U76" i="4" s="1"/>
  <c r="M77" i="4"/>
  <c r="O77" i="4" s="1"/>
  <c r="N78" i="4"/>
  <c r="N79" i="4" l="1"/>
  <c r="M78" i="4"/>
  <c r="O78" i="4" s="1"/>
  <c r="S77" i="4"/>
  <c r="W77" i="4" s="1"/>
  <c r="R77" i="4"/>
  <c r="V77" i="4" s="1"/>
  <c r="P77" i="4"/>
  <c r="T77" i="4" s="1"/>
  <c r="Q77" i="4"/>
  <c r="U77" i="4" s="1"/>
  <c r="R78" i="4" l="1"/>
  <c r="V78" i="4" s="1"/>
  <c r="S78" i="4"/>
  <c r="W78" i="4" s="1"/>
  <c r="Q78" i="4"/>
  <c r="U78" i="4" s="1"/>
  <c r="P78" i="4"/>
  <c r="T78" i="4" s="1"/>
  <c r="N80" i="4"/>
  <c r="M79" i="4"/>
  <c r="O79" i="4" s="1"/>
  <c r="R79" i="4" l="1"/>
  <c r="V79" i="4" s="1"/>
  <c r="S79" i="4"/>
  <c r="W79" i="4" s="1"/>
  <c r="Q79" i="4"/>
  <c r="U79" i="4" s="1"/>
  <c r="P79" i="4"/>
  <c r="T79" i="4" s="1"/>
  <c r="M80" i="4"/>
  <c r="O80" i="4" s="1"/>
  <c r="N81" i="4"/>
  <c r="N82" i="4" l="1"/>
  <c r="M81" i="4"/>
  <c r="O81" i="4" s="1"/>
  <c r="R80" i="4"/>
  <c r="V80" i="4" s="1"/>
  <c r="S80" i="4"/>
  <c r="W80" i="4" s="1"/>
  <c r="P80" i="4"/>
  <c r="T80" i="4" s="1"/>
  <c r="Q80" i="4"/>
  <c r="U80" i="4" s="1"/>
  <c r="R81" i="4" l="1"/>
  <c r="V81" i="4" s="1"/>
  <c r="S81" i="4"/>
  <c r="W81" i="4" s="1"/>
  <c r="P81" i="4"/>
  <c r="T81" i="4" s="1"/>
  <c r="Q81" i="4"/>
  <c r="U81" i="4" s="1"/>
  <c r="M82" i="4"/>
  <c r="O82" i="4" s="1"/>
  <c r="N83" i="4"/>
  <c r="N84" i="4" l="1"/>
  <c r="M83" i="4"/>
  <c r="O83" i="4" s="1"/>
  <c r="S82" i="4"/>
  <c r="W82" i="4" s="1"/>
  <c r="R82" i="4"/>
  <c r="V82" i="4" s="1"/>
  <c r="Q82" i="4"/>
  <c r="U82" i="4" s="1"/>
  <c r="P82" i="4"/>
  <c r="T82" i="4" s="1"/>
  <c r="S83" i="4" l="1"/>
  <c r="W83" i="4" s="1"/>
  <c r="R83" i="4"/>
  <c r="V83" i="4" s="1"/>
  <c r="Q83" i="4"/>
  <c r="U83" i="4" s="1"/>
  <c r="P83" i="4"/>
  <c r="T83" i="4" s="1"/>
  <c r="N85" i="4"/>
  <c r="M84" i="4"/>
  <c r="O84" i="4" s="1"/>
  <c r="S84" i="4" l="1"/>
  <c r="W84" i="4" s="1"/>
  <c r="R84" i="4"/>
  <c r="V84" i="4" s="1"/>
  <c r="P84" i="4"/>
  <c r="T84" i="4" s="1"/>
  <c r="Q84" i="4"/>
  <c r="U84" i="4" s="1"/>
  <c r="N86" i="4"/>
  <c r="M85" i="4"/>
  <c r="O85" i="4" s="1"/>
  <c r="R85" i="4" l="1"/>
  <c r="V85" i="4" s="1"/>
  <c r="S85" i="4"/>
  <c r="W85" i="4" s="1"/>
  <c r="P85" i="4"/>
  <c r="T85" i="4" s="1"/>
  <c r="Q85" i="4"/>
  <c r="U85" i="4" s="1"/>
  <c r="M86" i="4"/>
  <c r="O86" i="4" s="1"/>
  <c r="N87" i="4"/>
  <c r="M87" i="4" l="1"/>
  <c r="O87" i="4" s="1"/>
  <c r="N88" i="4"/>
  <c r="R86" i="4"/>
  <c r="V86" i="4" s="1"/>
  <c r="S86" i="4"/>
  <c r="W86" i="4" s="1"/>
  <c r="P86" i="4"/>
  <c r="T86" i="4" s="1"/>
  <c r="Q86" i="4"/>
  <c r="U86" i="4" s="1"/>
  <c r="N89" i="4" l="1"/>
  <c r="M88" i="4"/>
  <c r="O88" i="4" s="1"/>
  <c r="R87" i="4"/>
  <c r="V87" i="4" s="1"/>
  <c r="S87" i="4"/>
  <c r="W87" i="4" s="1"/>
  <c r="Q87" i="4"/>
  <c r="U87" i="4" s="1"/>
  <c r="P87" i="4"/>
  <c r="T87" i="4" s="1"/>
  <c r="R88" i="4" l="1"/>
  <c r="V88" i="4" s="1"/>
  <c r="S88" i="4"/>
  <c r="W88" i="4" s="1"/>
  <c r="P88" i="4"/>
  <c r="T88" i="4" s="1"/>
  <c r="Q88" i="4"/>
  <c r="U88" i="4" s="1"/>
  <c r="N90" i="4"/>
  <c r="M89" i="4"/>
  <c r="O89" i="4" s="1"/>
  <c r="R89" i="4" l="1"/>
  <c r="V89" i="4" s="1"/>
  <c r="S89" i="4"/>
  <c r="W89" i="4" s="1"/>
  <c r="Q89" i="4"/>
  <c r="U89" i="4" s="1"/>
  <c r="P89" i="4"/>
  <c r="T89" i="4" s="1"/>
  <c r="M90" i="4"/>
  <c r="O90" i="4" s="1"/>
  <c r="N91" i="4"/>
  <c r="N92" i="4" l="1"/>
  <c r="M91" i="4"/>
  <c r="O91" i="4" s="1"/>
  <c r="R90" i="4"/>
  <c r="V90" i="4" s="1"/>
  <c r="S90" i="4"/>
  <c r="W90" i="4" s="1"/>
  <c r="Q90" i="4"/>
  <c r="U90" i="4" s="1"/>
  <c r="P90" i="4"/>
  <c r="T90" i="4" s="1"/>
  <c r="S91" i="4" l="1"/>
  <c r="W91" i="4" s="1"/>
  <c r="R91" i="4"/>
  <c r="V91" i="4" s="1"/>
  <c r="P91" i="4"/>
  <c r="T91" i="4" s="1"/>
  <c r="Q91" i="4"/>
  <c r="U91" i="4" s="1"/>
  <c r="N93" i="4"/>
  <c r="M92" i="4"/>
  <c r="O92" i="4" s="1"/>
  <c r="S92" i="4" l="1"/>
  <c r="W92" i="4" s="1"/>
  <c r="R92" i="4"/>
  <c r="V92" i="4" s="1"/>
  <c r="Q92" i="4"/>
  <c r="U92" i="4" s="1"/>
  <c r="P92" i="4"/>
  <c r="T92" i="4" s="1"/>
  <c r="N94" i="4"/>
  <c r="M93" i="4"/>
  <c r="O93" i="4" s="1"/>
  <c r="S93" i="4" l="1"/>
  <c r="W93" i="4" s="1"/>
  <c r="R93" i="4"/>
  <c r="V93" i="4" s="1"/>
  <c r="P93" i="4"/>
  <c r="T93" i="4" s="1"/>
  <c r="Q93" i="4"/>
  <c r="U93" i="4" s="1"/>
  <c r="N95" i="4"/>
  <c r="M94" i="4"/>
  <c r="O94" i="4" s="1"/>
  <c r="R94" i="4" l="1"/>
  <c r="V94" i="4" s="1"/>
  <c r="S94" i="4"/>
  <c r="W94" i="4" s="1"/>
  <c r="Q94" i="4"/>
  <c r="U94" i="4" s="1"/>
  <c r="P94" i="4"/>
  <c r="T94" i="4" s="1"/>
  <c r="M95" i="4"/>
  <c r="O95" i="4" s="1"/>
  <c r="N96" i="4"/>
  <c r="R95" i="4" l="1"/>
  <c r="V95" i="4" s="1"/>
  <c r="S95" i="4"/>
  <c r="W95" i="4" s="1"/>
  <c r="P95" i="4"/>
  <c r="T95" i="4" s="1"/>
  <c r="Q95" i="4"/>
  <c r="U95" i="4" s="1"/>
  <c r="M96" i="4"/>
  <c r="O96" i="4" s="1"/>
  <c r="N97" i="4"/>
  <c r="M97" i="4" l="1"/>
  <c r="O97" i="4" s="1"/>
  <c r="N98" i="4"/>
  <c r="R96" i="4"/>
  <c r="V96" i="4" s="1"/>
  <c r="S96" i="4"/>
  <c r="W96" i="4" s="1"/>
  <c r="Q96" i="4"/>
  <c r="U96" i="4" s="1"/>
  <c r="P96" i="4"/>
  <c r="T96" i="4" s="1"/>
  <c r="M98" i="4" l="1"/>
  <c r="O98" i="4" s="1"/>
  <c r="N99" i="4"/>
  <c r="R97" i="4"/>
  <c r="V97" i="4" s="1"/>
  <c r="S97" i="4"/>
  <c r="W97" i="4" s="1"/>
  <c r="P97" i="4"/>
  <c r="T97" i="4" s="1"/>
  <c r="Q97" i="4"/>
  <c r="U97" i="4" s="1"/>
  <c r="N100" i="4" l="1"/>
  <c r="M99" i="4"/>
  <c r="O99" i="4" s="1"/>
  <c r="R98" i="4"/>
  <c r="V98" i="4" s="1"/>
  <c r="S98" i="4"/>
  <c r="W98" i="4" s="1"/>
  <c r="Q98" i="4"/>
  <c r="U98" i="4" s="1"/>
  <c r="P98" i="4"/>
  <c r="T98" i="4" s="1"/>
  <c r="R99" i="4" l="1"/>
  <c r="V99" i="4" s="1"/>
  <c r="S99" i="4"/>
  <c r="W99" i="4" s="1"/>
  <c r="P99" i="4"/>
  <c r="T99" i="4" s="1"/>
  <c r="Q99" i="4"/>
  <c r="U99" i="4" s="1"/>
  <c r="N101" i="4"/>
  <c r="M100" i="4"/>
  <c r="O100" i="4" s="1"/>
  <c r="S100" i="4" l="1"/>
  <c r="W100" i="4" s="1"/>
  <c r="R100" i="4"/>
  <c r="V100" i="4" s="1"/>
  <c r="Q100" i="4"/>
  <c r="U100" i="4" s="1"/>
  <c r="P100" i="4"/>
  <c r="T100" i="4" s="1"/>
  <c r="M101" i="4"/>
  <c r="O101" i="4" s="1"/>
  <c r="N102" i="4"/>
  <c r="N103" i="4" l="1"/>
  <c r="M102" i="4"/>
  <c r="O102" i="4" s="1"/>
  <c r="S101" i="4"/>
  <c r="W101" i="4" s="1"/>
  <c r="R101" i="4"/>
  <c r="V101" i="4" s="1"/>
  <c r="P101" i="4"/>
  <c r="T101" i="4" s="1"/>
  <c r="Q101" i="4"/>
  <c r="U101" i="4" s="1"/>
  <c r="R102" i="4" l="1"/>
  <c r="V102" i="4" s="1"/>
  <c r="S102" i="4"/>
  <c r="W102" i="4" s="1"/>
  <c r="Q102" i="4"/>
  <c r="U102" i="4" s="1"/>
  <c r="P102" i="4"/>
  <c r="T102" i="4" s="1"/>
  <c r="N104" i="4"/>
  <c r="M103" i="4"/>
  <c r="O103" i="4" s="1"/>
  <c r="R103" i="4" l="1"/>
  <c r="V103" i="4" s="1"/>
  <c r="S103" i="4"/>
  <c r="W103" i="4" s="1"/>
  <c r="Q103" i="4"/>
  <c r="U103" i="4" s="1"/>
  <c r="P103" i="4"/>
  <c r="T103" i="4" s="1"/>
  <c r="M104" i="4"/>
  <c r="O104" i="4" s="1"/>
  <c r="N105" i="4"/>
  <c r="N106" i="4" l="1"/>
  <c r="M105" i="4"/>
  <c r="O105" i="4" s="1"/>
  <c r="S104" i="4"/>
  <c r="W104" i="4" s="1"/>
  <c r="R104" i="4"/>
  <c r="V104" i="4" s="1"/>
  <c r="P104" i="4"/>
  <c r="T104" i="4" s="1"/>
  <c r="Q104" i="4"/>
  <c r="U104" i="4" s="1"/>
  <c r="R105" i="4" l="1"/>
  <c r="V105" i="4" s="1"/>
  <c r="S105" i="4"/>
  <c r="W105" i="4" s="1"/>
  <c r="Q105" i="4"/>
  <c r="U105" i="4" s="1"/>
  <c r="P105" i="4"/>
  <c r="T105" i="4" s="1"/>
  <c r="M106" i="4"/>
  <c r="O106" i="4" s="1"/>
  <c r="N107" i="4"/>
  <c r="M107" i="4" l="1"/>
  <c r="O107" i="4" s="1"/>
  <c r="N108" i="4"/>
  <c r="R106" i="4"/>
  <c r="V106" i="4" s="1"/>
  <c r="S106" i="4"/>
  <c r="W106" i="4" s="1"/>
  <c r="Q106" i="4"/>
  <c r="U106" i="4" s="1"/>
  <c r="P106" i="4"/>
  <c r="T106" i="4" s="1"/>
  <c r="N109" i="4" l="1"/>
  <c r="M108" i="4"/>
  <c r="O108" i="4" s="1"/>
  <c r="R107" i="4"/>
  <c r="V107" i="4" s="1"/>
  <c r="S107" i="4"/>
  <c r="W107" i="4" s="1"/>
  <c r="P107" i="4"/>
  <c r="T107" i="4" s="1"/>
  <c r="Q107" i="4"/>
  <c r="U107" i="4" s="1"/>
  <c r="S108" i="4" l="1"/>
  <c r="W108" i="4" s="1"/>
  <c r="R108" i="4"/>
  <c r="V108" i="4" s="1"/>
  <c r="P108" i="4"/>
  <c r="T108" i="4" s="1"/>
  <c r="Q108" i="4"/>
  <c r="U108" i="4" s="1"/>
  <c r="M109" i="4"/>
  <c r="O109" i="4" s="1"/>
  <c r="N110" i="4"/>
  <c r="R109" i="4" l="1"/>
  <c r="V109" i="4" s="1"/>
  <c r="S109" i="4"/>
  <c r="W109" i="4" s="1"/>
  <c r="P109" i="4"/>
  <c r="T109" i="4" s="1"/>
  <c r="Q109" i="4"/>
  <c r="U109" i="4" s="1"/>
  <c r="N111" i="4"/>
  <c r="M110" i="4"/>
  <c r="O110" i="4" s="1"/>
  <c r="R110" i="4" l="1"/>
  <c r="V110" i="4" s="1"/>
  <c r="S110" i="4"/>
  <c r="W110" i="4" s="1"/>
  <c r="Q110" i="4"/>
  <c r="U110" i="4" s="1"/>
  <c r="P110" i="4"/>
  <c r="T110" i="4" s="1"/>
  <c r="M111" i="4"/>
  <c r="O111" i="4" s="1"/>
  <c r="N112" i="4"/>
  <c r="R111" i="4" l="1"/>
  <c r="V111" i="4" s="1"/>
  <c r="S111" i="4"/>
  <c r="W111" i="4" s="1"/>
  <c r="Q111" i="4"/>
  <c r="U111" i="4" s="1"/>
  <c r="P111" i="4"/>
  <c r="T111" i="4" s="1"/>
  <c r="M112" i="4"/>
  <c r="O112" i="4" s="1"/>
  <c r="N113" i="4"/>
  <c r="M113" i="4" l="1"/>
  <c r="O113" i="4" s="1"/>
  <c r="N114" i="4"/>
  <c r="R112" i="4"/>
  <c r="V112" i="4" s="1"/>
  <c r="S112" i="4"/>
  <c r="W112" i="4" s="1"/>
  <c r="P112" i="4"/>
  <c r="T112" i="4" s="1"/>
  <c r="Q112" i="4"/>
  <c r="U112" i="4" s="1"/>
  <c r="M114" i="4" l="1"/>
  <c r="O114" i="4" s="1"/>
  <c r="N115" i="4"/>
  <c r="Q113" i="4"/>
  <c r="U113" i="4" s="1"/>
  <c r="S113" i="4"/>
  <c r="W113" i="4" s="1"/>
  <c r="R113" i="4"/>
  <c r="V113" i="4" s="1"/>
  <c r="P113" i="4"/>
  <c r="T113" i="4" s="1"/>
  <c r="M115" i="4" l="1"/>
  <c r="O115" i="4" s="1"/>
  <c r="N116" i="4"/>
  <c r="Q114" i="4"/>
  <c r="U114" i="4" s="1"/>
  <c r="S114" i="4"/>
  <c r="W114" i="4" s="1"/>
  <c r="R114" i="4"/>
  <c r="V114" i="4" s="1"/>
  <c r="P114" i="4"/>
  <c r="T114" i="4" s="1"/>
  <c r="M116" i="4" l="1"/>
  <c r="O116" i="4" s="1"/>
  <c r="N117" i="4"/>
  <c r="R115" i="4"/>
  <c r="V115" i="4" s="1"/>
  <c r="S115" i="4"/>
  <c r="W115" i="4" s="1"/>
  <c r="Q115" i="4"/>
  <c r="U115" i="4" s="1"/>
  <c r="P115" i="4"/>
  <c r="T115" i="4" s="1"/>
  <c r="N118" i="4" l="1"/>
  <c r="M117" i="4"/>
  <c r="O117" i="4" s="1"/>
  <c r="R116" i="4"/>
  <c r="V116" i="4" s="1"/>
  <c r="S116" i="4"/>
  <c r="W116" i="4" s="1"/>
  <c r="Q116" i="4"/>
  <c r="U116" i="4" s="1"/>
  <c r="P116" i="4"/>
  <c r="T116" i="4" s="1"/>
  <c r="S117" i="4" l="1"/>
  <c r="W117" i="4" s="1"/>
  <c r="R117" i="4"/>
  <c r="V117" i="4" s="1"/>
  <c r="Q117" i="4"/>
  <c r="U117" i="4" s="1"/>
  <c r="P117" i="4"/>
  <c r="T117" i="4" s="1"/>
  <c r="M118" i="4"/>
  <c r="O118" i="4" s="1"/>
  <c r="N119" i="4"/>
  <c r="S118" i="4" l="1"/>
  <c r="W118" i="4" s="1"/>
  <c r="R118" i="4"/>
  <c r="V118" i="4" s="1"/>
  <c r="Q118" i="4"/>
  <c r="U118" i="4" s="1"/>
  <c r="P118" i="4"/>
  <c r="T118" i="4" s="1"/>
  <c r="M119" i="4"/>
  <c r="O119" i="4" s="1"/>
  <c r="N120" i="4"/>
  <c r="N121" i="4" l="1"/>
  <c r="M120" i="4"/>
  <c r="O120" i="4" s="1"/>
  <c r="S119" i="4"/>
  <c r="W119" i="4" s="1"/>
  <c r="R119" i="4"/>
  <c r="V119" i="4" s="1"/>
  <c r="P119" i="4"/>
  <c r="T119" i="4" s="1"/>
  <c r="Q119" i="4"/>
  <c r="U119" i="4" s="1"/>
  <c r="S120" i="4" l="1"/>
  <c r="W120" i="4" s="1"/>
  <c r="R120" i="4"/>
  <c r="V120" i="4" s="1"/>
  <c r="P120" i="4"/>
  <c r="T120" i="4" s="1"/>
  <c r="Q120" i="4"/>
  <c r="U120" i="4" s="1"/>
  <c r="M121" i="4"/>
  <c r="O121" i="4" s="1"/>
  <c r="N122" i="4"/>
  <c r="M122" i="4" l="1"/>
  <c r="O122" i="4" s="1"/>
  <c r="N123" i="4"/>
  <c r="R121" i="4"/>
  <c r="V121" i="4" s="1"/>
  <c r="S121" i="4"/>
  <c r="W121" i="4" s="1"/>
  <c r="P121" i="4"/>
  <c r="T121" i="4" s="1"/>
  <c r="Q121" i="4"/>
  <c r="U121" i="4" s="1"/>
  <c r="M123" i="4" l="1"/>
  <c r="O123" i="4" s="1"/>
  <c r="N124" i="4"/>
  <c r="R122" i="4"/>
  <c r="V122" i="4" s="1"/>
  <c r="S122" i="4"/>
  <c r="W122" i="4" s="1"/>
  <c r="P122" i="4"/>
  <c r="T122" i="4" s="1"/>
  <c r="Q122" i="4"/>
  <c r="U122" i="4" s="1"/>
  <c r="M124" i="4" l="1"/>
  <c r="O124" i="4" s="1"/>
  <c r="N125" i="4"/>
  <c r="R123" i="4"/>
  <c r="V123" i="4" s="1"/>
  <c r="S123" i="4"/>
  <c r="W123" i="4" s="1"/>
  <c r="Q123" i="4"/>
  <c r="U123" i="4" s="1"/>
  <c r="P123" i="4"/>
  <c r="T123" i="4" s="1"/>
  <c r="N126" i="4" l="1"/>
  <c r="M125" i="4"/>
  <c r="O125" i="4" s="1"/>
  <c r="S124" i="4"/>
  <c r="W124" i="4" s="1"/>
  <c r="R124" i="4"/>
  <c r="V124" i="4" s="1"/>
  <c r="Q124" i="4"/>
  <c r="U124" i="4" s="1"/>
  <c r="P124" i="4"/>
  <c r="T124" i="4" s="1"/>
  <c r="R125" i="4" l="1"/>
  <c r="V125" i="4" s="1"/>
  <c r="S125" i="4"/>
  <c r="W125" i="4" s="1"/>
  <c r="Q125" i="4"/>
  <c r="U125" i="4" s="1"/>
  <c r="P125" i="4"/>
  <c r="T125" i="4" s="1"/>
  <c r="N127" i="4"/>
  <c r="M126" i="4"/>
  <c r="O126" i="4" s="1"/>
  <c r="R126" i="4" l="1"/>
  <c r="V126" i="4" s="1"/>
  <c r="S126" i="4"/>
  <c r="W126" i="4" s="1"/>
  <c r="P126" i="4"/>
  <c r="T126" i="4" s="1"/>
  <c r="Q126" i="4"/>
  <c r="U126" i="4" s="1"/>
  <c r="M127" i="4"/>
  <c r="O127" i="4" s="1"/>
  <c r="N128" i="4"/>
  <c r="N129" i="4" l="1"/>
  <c r="M128" i="4"/>
  <c r="O128" i="4" s="1"/>
  <c r="S127" i="4"/>
  <c r="W127" i="4" s="1"/>
  <c r="R127" i="4"/>
  <c r="V127" i="4" s="1"/>
  <c r="Q127" i="4"/>
  <c r="U127" i="4" s="1"/>
  <c r="P127" i="4"/>
  <c r="T127" i="4" s="1"/>
  <c r="S128" i="4" l="1"/>
  <c r="W128" i="4" s="1"/>
  <c r="R128" i="4"/>
  <c r="V128" i="4" s="1"/>
  <c r="Q128" i="4"/>
  <c r="U128" i="4" s="1"/>
  <c r="P128" i="4"/>
  <c r="T128" i="4" s="1"/>
  <c r="M129" i="4"/>
  <c r="O129" i="4" s="1"/>
  <c r="N130" i="4"/>
  <c r="R129" i="4" l="1"/>
  <c r="V129" i="4" s="1"/>
  <c r="S129" i="4"/>
  <c r="W129" i="4" s="1"/>
  <c r="Q129" i="4"/>
  <c r="U129" i="4" s="1"/>
  <c r="P129" i="4"/>
  <c r="T129" i="4" s="1"/>
  <c r="M130" i="4"/>
  <c r="O130" i="4" s="1"/>
  <c r="N131" i="4"/>
  <c r="N132" i="4" l="1"/>
  <c r="M131" i="4"/>
  <c r="O131" i="4" s="1"/>
  <c r="R130" i="4"/>
  <c r="V130" i="4" s="1"/>
  <c r="S130" i="4"/>
  <c r="W130" i="4" s="1"/>
  <c r="Q130" i="4"/>
  <c r="U130" i="4" s="1"/>
  <c r="P130" i="4"/>
  <c r="T130" i="4" s="1"/>
  <c r="R131" i="4" l="1"/>
  <c r="V131" i="4" s="1"/>
  <c r="S131" i="4"/>
  <c r="W131" i="4" s="1"/>
  <c r="P131" i="4"/>
  <c r="T131" i="4" s="1"/>
  <c r="Q131" i="4"/>
  <c r="U131" i="4" s="1"/>
  <c r="M132" i="4"/>
  <c r="O132" i="4" s="1"/>
  <c r="N133" i="4"/>
  <c r="R132" i="4" l="1"/>
  <c r="V132" i="4" s="1"/>
  <c r="S132" i="4"/>
  <c r="W132" i="4" s="1"/>
  <c r="Q132" i="4"/>
  <c r="U132" i="4" s="1"/>
  <c r="P132" i="4"/>
  <c r="T132" i="4" s="1"/>
  <c r="N134" i="4"/>
  <c r="M133" i="4"/>
  <c r="O133" i="4" s="1"/>
  <c r="N135" i="4" l="1"/>
  <c r="M134" i="4"/>
  <c r="O134" i="4" s="1"/>
  <c r="R133" i="4"/>
  <c r="V133" i="4" s="1"/>
  <c r="S133" i="4"/>
  <c r="W133" i="4" s="1"/>
  <c r="Q133" i="4"/>
  <c r="U133" i="4" s="1"/>
  <c r="P133" i="4"/>
  <c r="T133" i="4" s="1"/>
  <c r="R134" i="4" l="1"/>
  <c r="V134" i="4" s="1"/>
  <c r="S134" i="4"/>
  <c r="W134" i="4" s="1"/>
  <c r="Q134" i="4"/>
  <c r="U134" i="4" s="1"/>
  <c r="P134" i="4"/>
  <c r="T134" i="4" s="1"/>
  <c r="M135" i="4"/>
  <c r="O135" i="4" s="1"/>
  <c r="N136" i="4"/>
  <c r="N137" i="4" l="1"/>
  <c r="M136" i="4"/>
  <c r="O136" i="4" s="1"/>
  <c r="R135" i="4"/>
  <c r="V135" i="4" s="1"/>
  <c r="S135" i="4"/>
  <c r="W135" i="4" s="1"/>
  <c r="Q135" i="4"/>
  <c r="U135" i="4" s="1"/>
  <c r="P135" i="4"/>
  <c r="T135" i="4" s="1"/>
  <c r="R136" i="4" l="1"/>
  <c r="V136" i="4" s="1"/>
  <c r="S136" i="4"/>
  <c r="W136" i="4" s="1"/>
  <c r="P136" i="4"/>
  <c r="T136" i="4" s="1"/>
  <c r="Q136" i="4"/>
  <c r="U136" i="4" s="1"/>
  <c r="M137" i="4"/>
  <c r="O137" i="4" s="1"/>
  <c r="N138" i="4"/>
  <c r="M138" i="4" l="1"/>
  <c r="O138" i="4" s="1"/>
  <c r="N139" i="4"/>
  <c r="R137" i="4"/>
  <c r="V137" i="4" s="1"/>
  <c r="S137" i="4"/>
  <c r="W137" i="4" s="1"/>
  <c r="Q137" i="4"/>
  <c r="U137" i="4" s="1"/>
  <c r="P137" i="4"/>
  <c r="T137" i="4" s="1"/>
  <c r="M139" i="4" l="1"/>
  <c r="O139" i="4" s="1"/>
  <c r="N140" i="4"/>
  <c r="S138" i="4"/>
  <c r="W138" i="4" s="1"/>
  <c r="R138" i="4"/>
  <c r="V138" i="4" s="1"/>
  <c r="P138" i="4"/>
  <c r="T138" i="4" s="1"/>
  <c r="Q138" i="4"/>
  <c r="U138" i="4" s="1"/>
  <c r="M140" i="4" l="1"/>
  <c r="O140" i="4" s="1"/>
  <c r="N141" i="4"/>
  <c r="S139" i="4"/>
  <c r="W139" i="4" s="1"/>
  <c r="R139" i="4"/>
  <c r="V139" i="4" s="1"/>
  <c r="Q139" i="4"/>
  <c r="U139" i="4" s="1"/>
  <c r="P139" i="4"/>
  <c r="T139" i="4" s="1"/>
  <c r="N142" i="4" l="1"/>
  <c r="M141" i="4"/>
  <c r="O141" i="4" s="1"/>
  <c r="R140" i="4"/>
  <c r="V140" i="4" s="1"/>
  <c r="S140" i="4"/>
  <c r="W140" i="4" s="1"/>
  <c r="P140" i="4"/>
  <c r="T140" i="4" s="1"/>
  <c r="Q140" i="4"/>
  <c r="U140" i="4" s="1"/>
  <c r="R141" i="4" l="1"/>
  <c r="V141" i="4" s="1"/>
  <c r="S141" i="4"/>
  <c r="W141" i="4" s="1"/>
  <c r="P141" i="4"/>
  <c r="T141" i="4" s="1"/>
  <c r="Q141" i="4"/>
  <c r="U141" i="4" s="1"/>
  <c r="N143" i="4"/>
  <c r="M142" i="4"/>
  <c r="O142" i="4" s="1"/>
  <c r="R142" i="4" l="1"/>
  <c r="V142" i="4" s="1"/>
  <c r="S142" i="4"/>
  <c r="W142" i="4" s="1"/>
  <c r="Q142" i="4"/>
  <c r="U142" i="4" s="1"/>
  <c r="P142" i="4"/>
  <c r="T142" i="4" s="1"/>
  <c r="M143" i="4"/>
  <c r="O143" i="4" s="1"/>
  <c r="N144" i="4"/>
  <c r="N145" i="4" l="1"/>
  <c r="M144" i="4"/>
  <c r="O144" i="4" s="1"/>
  <c r="R143" i="4"/>
  <c r="V143" i="4" s="1"/>
  <c r="S143" i="4"/>
  <c r="W143" i="4" s="1"/>
  <c r="Q143" i="4"/>
  <c r="U143" i="4" s="1"/>
  <c r="P143" i="4"/>
  <c r="T143" i="4" s="1"/>
  <c r="R144" i="4" l="1"/>
  <c r="V144" i="4" s="1"/>
  <c r="S144" i="4"/>
  <c r="W144" i="4" s="1"/>
  <c r="P144" i="4"/>
  <c r="T144" i="4" s="1"/>
  <c r="Q144" i="4"/>
  <c r="U144" i="4" s="1"/>
  <c r="M145" i="4"/>
  <c r="O145" i="4" s="1"/>
  <c r="N146" i="4"/>
  <c r="N147" i="4" l="1"/>
  <c r="M146" i="4"/>
  <c r="O146" i="4" s="1"/>
  <c r="S145" i="4"/>
  <c r="W145" i="4" s="1"/>
  <c r="R145" i="4"/>
  <c r="V145" i="4" s="1"/>
  <c r="P145" i="4"/>
  <c r="T145" i="4" s="1"/>
  <c r="Q145" i="4"/>
  <c r="U145" i="4" s="1"/>
  <c r="S146" i="4" l="1"/>
  <c r="W146" i="4" s="1"/>
  <c r="R146" i="4"/>
  <c r="V146" i="4" s="1"/>
  <c r="P146" i="4"/>
  <c r="T146" i="4" s="1"/>
  <c r="Q146" i="4"/>
  <c r="U146" i="4" s="1"/>
  <c r="N148" i="4"/>
  <c r="M147" i="4"/>
  <c r="O147" i="4" s="1"/>
  <c r="R147" i="4" l="1"/>
  <c r="V147" i="4" s="1"/>
  <c r="S147" i="4"/>
  <c r="W147" i="4" s="1"/>
  <c r="Q147" i="4"/>
  <c r="U147" i="4" s="1"/>
  <c r="P147" i="4"/>
  <c r="T147" i="4" s="1"/>
  <c r="M148" i="4"/>
  <c r="O148" i="4" s="1"/>
  <c r="N149" i="4"/>
  <c r="R148" i="4" l="1"/>
  <c r="V148" i="4" s="1"/>
  <c r="S148" i="4"/>
  <c r="W148" i="4" s="1"/>
  <c r="P148" i="4"/>
  <c r="T148" i="4" s="1"/>
  <c r="Q148" i="4"/>
  <c r="U148" i="4" s="1"/>
  <c r="N150" i="4"/>
  <c r="M149" i="4"/>
  <c r="O149" i="4" s="1"/>
  <c r="R149" i="4" l="1"/>
  <c r="V149" i="4" s="1"/>
  <c r="S149" i="4"/>
  <c r="W149" i="4" s="1"/>
  <c r="P149" i="4"/>
  <c r="T149" i="4" s="1"/>
  <c r="Q149" i="4"/>
  <c r="U149" i="4" s="1"/>
  <c r="N151" i="4"/>
  <c r="M150" i="4"/>
  <c r="O150" i="4" s="1"/>
  <c r="N152" i="4" l="1"/>
  <c r="M151" i="4"/>
  <c r="O151" i="4" s="1"/>
  <c r="R150" i="4"/>
  <c r="V150" i="4" s="1"/>
  <c r="S150" i="4"/>
  <c r="W150" i="4" s="1"/>
  <c r="P150" i="4"/>
  <c r="T150" i="4" s="1"/>
  <c r="Q150" i="4"/>
  <c r="U150" i="4" s="1"/>
  <c r="S151" i="4" l="1"/>
  <c r="W151" i="4" s="1"/>
  <c r="R151" i="4"/>
  <c r="V151" i="4" s="1"/>
  <c r="Q151" i="4"/>
  <c r="U151" i="4" s="1"/>
  <c r="P151" i="4"/>
  <c r="T151" i="4" s="1"/>
  <c r="M152" i="4"/>
  <c r="O152" i="4" s="1"/>
  <c r="N153" i="4"/>
  <c r="R152" i="4" l="1"/>
  <c r="V152" i="4" s="1"/>
  <c r="S152" i="4"/>
  <c r="W152" i="4" s="1"/>
  <c r="P152" i="4"/>
  <c r="T152" i="4" s="1"/>
  <c r="Q152" i="4"/>
  <c r="U152" i="4" s="1"/>
  <c r="M153" i="4"/>
  <c r="O153" i="4" s="1"/>
  <c r="N154" i="4"/>
  <c r="M154" i="4" l="1"/>
  <c r="O154" i="4" s="1"/>
  <c r="N155" i="4"/>
  <c r="R153" i="4"/>
  <c r="V153" i="4" s="1"/>
  <c r="S153" i="4"/>
  <c r="W153" i="4" s="1"/>
  <c r="Q153" i="4"/>
  <c r="U153" i="4" s="1"/>
  <c r="P153" i="4"/>
  <c r="T153" i="4" s="1"/>
  <c r="N156" i="4" l="1"/>
  <c r="M155" i="4"/>
  <c r="O155" i="4" s="1"/>
  <c r="R154" i="4"/>
  <c r="V154" i="4" s="1"/>
  <c r="S154" i="4"/>
  <c r="W154" i="4" s="1"/>
  <c r="P154" i="4"/>
  <c r="T154" i="4" s="1"/>
  <c r="Q154" i="4"/>
  <c r="U154" i="4" s="1"/>
  <c r="R155" i="4" l="1"/>
  <c r="V155" i="4" s="1"/>
  <c r="S155" i="4"/>
  <c r="W155" i="4" s="1"/>
  <c r="Q155" i="4"/>
  <c r="U155" i="4" s="1"/>
  <c r="P155" i="4"/>
  <c r="T155" i="4" s="1"/>
  <c r="M156" i="4"/>
  <c r="O156" i="4" s="1"/>
  <c r="N157" i="4"/>
  <c r="N158" i="4" l="1"/>
  <c r="M157" i="4"/>
  <c r="O157" i="4" s="1"/>
  <c r="S156" i="4"/>
  <c r="W156" i="4" s="1"/>
  <c r="R156" i="4"/>
  <c r="V156" i="4" s="1"/>
  <c r="P156" i="4"/>
  <c r="T156" i="4" s="1"/>
  <c r="Q156" i="4"/>
  <c r="U156" i="4" s="1"/>
  <c r="R157" i="4" l="1"/>
  <c r="V157" i="4" s="1"/>
  <c r="S157" i="4"/>
  <c r="W157" i="4" s="1"/>
  <c r="Q157" i="4"/>
  <c r="U157" i="4" s="1"/>
  <c r="P157" i="4"/>
  <c r="T157" i="4" s="1"/>
  <c r="N159" i="4"/>
  <c r="M158" i="4"/>
  <c r="O158" i="4" s="1"/>
  <c r="R158" i="4" l="1"/>
  <c r="V158" i="4" s="1"/>
  <c r="S158" i="4"/>
  <c r="W158" i="4" s="1"/>
  <c r="Q158" i="4"/>
  <c r="U158" i="4" s="1"/>
  <c r="P158" i="4"/>
  <c r="T158" i="4" s="1"/>
  <c r="N160" i="4"/>
  <c r="M159" i="4"/>
  <c r="O159" i="4" s="1"/>
  <c r="S159" i="4" l="1"/>
  <c r="W159" i="4" s="1"/>
  <c r="R159" i="4"/>
  <c r="V159" i="4" s="1"/>
  <c r="P159" i="4"/>
  <c r="T159" i="4" s="1"/>
  <c r="Q159" i="4"/>
  <c r="U159" i="4" s="1"/>
  <c r="N161" i="4"/>
  <c r="M160" i="4"/>
  <c r="O160" i="4" s="1"/>
  <c r="R160" i="4" l="1"/>
  <c r="V160" i="4" s="1"/>
  <c r="S160" i="4"/>
  <c r="W160" i="4" s="1"/>
  <c r="P160" i="4"/>
  <c r="T160" i="4" s="1"/>
  <c r="Q160" i="4"/>
  <c r="U160" i="4" s="1"/>
  <c r="M161" i="4"/>
  <c r="O161" i="4" s="1"/>
  <c r="N162" i="4"/>
  <c r="N163" i="4" l="1"/>
  <c r="M162" i="4"/>
  <c r="O162" i="4" s="1"/>
  <c r="S161" i="4"/>
  <c r="W161" i="4" s="1"/>
  <c r="R161" i="4"/>
  <c r="V161" i="4" s="1"/>
  <c r="P161" i="4"/>
  <c r="T161" i="4" s="1"/>
  <c r="Q161" i="4"/>
  <c r="U161" i="4" s="1"/>
  <c r="R162" i="4" l="1"/>
  <c r="V162" i="4" s="1"/>
  <c r="S162" i="4"/>
  <c r="W162" i="4" s="1"/>
  <c r="Q162" i="4"/>
  <c r="U162" i="4" s="1"/>
  <c r="P162" i="4"/>
  <c r="T162" i="4" s="1"/>
  <c r="M163" i="4"/>
  <c r="O163" i="4" s="1"/>
  <c r="N164" i="4"/>
  <c r="M164" i="4" l="1"/>
  <c r="O164" i="4" s="1"/>
  <c r="N165" i="4"/>
  <c r="R163" i="4"/>
  <c r="V163" i="4" s="1"/>
  <c r="S163" i="4"/>
  <c r="W163" i="4" s="1"/>
  <c r="P163" i="4"/>
  <c r="T163" i="4" s="1"/>
  <c r="Q163" i="4"/>
  <c r="U163" i="4" s="1"/>
  <c r="N166" i="4" l="1"/>
  <c r="M165" i="4"/>
  <c r="O165" i="4" s="1"/>
  <c r="R164" i="4"/>
  <c r="V164" i="4" s="1"/>
  <c r="S164" i="4"/>
  <c r="W164" i="4" s="1"/>
  <c r="P164" i="4"/>
  <c r="T164" i="4" s="1"/>
  <c r="Q164" i="4"/>
  <c r="U164" i="4" s="1"/>
  <c r="R165" i="4" l="1"/>
  <c r="V165" i="4" s="1"/>
  <c r="S165" i="4"/>
  <c r="W165" i="4" s="1"/>
  <c r="Q165" i="4"/>
  <c r="U165" i="4" s="1"/>
  <c r="P165" i="4"/>
  <c r="T165" i="4" s="1"/>
  <c r="M166" i="4"/>
  <c r="O166" i="4" s="1"/>
  <c r="N167" i="4"/>
  <c r="R166" i="4" l="1"/>
  <c r="V166" i="4" s="1"/>
  <c r="S166" i="4"/>
  <c r="W166" i="4" s="1"/>
  <c r="P166" i="4"/>
  <c r="T166" i="4" s="1"/>
  <c r="Q166" i="4"/>
  <c r="U166" i="4" s="1"/>
  <c r="N168" i="4"/>
  <c r="M167" i="4"/>
  <c r="O167" i="4" s="1"/>
  <c r="S167" i="4" l="1"/>
  <c r="W167" i="4" s="1"/>
  <c r="R167" i="4"/>
  <c r="V167" i="4" s="1"/>
  <c r="Q167" i="4"/>
  <c r="U167" i="4" s="1"/>
  <c r="P167" i="4"/>
  <c r="T167" i="4" s="1"/>
  <c r="N169" i="4"/>
  <c r="M168" i="4"/>
  <c r="O168" i="4" s="1"/>
  <c r="M169" i="4" l="1"/>
  <c r="O169" i="4" s="1"/>
  <c r="N170" i="4"/>
  <c r="R168" i="4"/>
  <c r="V168" i="4" s="1"/>
  <c r="S168" i="4"/>
  <c r="W168" i="4" s="1"/>
  <c r="P168" i="4"/>
  <c r="T168" i="4" s="1"/>
  <c r="Q168" i="4"/>
  <c r="U168" i="4" s="1"/>
  <c r="N171" i="4" l="1"/>
  <c r="M170" i="4"/>
  <c r="O170" i="4" s="1"/>
  <c r="S169" i="4"/>
  <c r="W169" i="4" s="1"/>
  <c r="R169" i="4"/>
  <c r="V169" i="4" s="1"/>
  <c r="P169" i="4"/>
  <c r="T169" i="4" s="1"/>
  <c r="Q169" i="4"/>
  <c r="U169" i="4" s="1"/>
  <c r="R170" i="4" l="1"/>
  <c r="V170" i="4" s="1"/>
  <c r="S170" i="4"/>
  <c r="W170" i="4" s="1"/>
  <c r="P170" i="4"/>
  <c r="T170" i="4" s="1"/>
  <c r="Q170" i="4"/>
  <c r="U170" i="4" s="1"/>
  <c r="N172" i="4"/>
  <c r="M171" i="4"/>
  <c r="O171" i="4" s="1"/>
  <c r="S171" i="4" l="1"/>
  <c r="W171" i="4" s="1"/>
  <c r="R171" i="4"/>
  <c r="V171" i="4" s="1"/>
  <c r="Q171" i="4"/>
  <c r="U171" i="4" s="1"/>
  <c r="P171" i="4"/>
  <c r="T171" i="4" s="1"/>
  <c r="M172" i="4"/>
  <c r="O172" i="4" s="1"/>
  <c r="N173" i="4"/>
  <c r="S172" i="4" l="1"/>
  <c r="W172" i="4" s="1"/>
  <c r="R172" i="4"/>
  <c r="V172" i="4" s="1"/>
  <c r="Q172" i="4"/>
  <c r="U172" i="4" s="1"/>
  <c r="P172" i="4"/>
  <c r="T172" i="4" s="1"/>
  <c r="N174" i="4"/>
  <c r="M173" i="4"/>
  <c r="O173" i="4" s="1"/>
  <c r="R173" i="4" l="1"/>
  <c r="V173" i="4" s="1"/>
  <c r="S173" i="4"/>
  <c r="W173" i="4" s="1"/>
  <c r="Q173" i="4"/>
  <c r="U173" i="4" s="1"/>
  <c r="P173" i="4"/>
  <c r="T173" i="4" s="1"/>
  <c r="N175" i="4"/>
  <c r="M174" i="4"/>
  <c r="O174" i="4" s="1"/>
  <c r="M175" i="4" l="1"/>
  <c r="O175" i="4" s="1"/>
  <c r="N176" i="4"/>
  <c r="R174" i="4"/>
  <c r="V174" i="4" s="1"/>
  <c r="S174" i="4"/>
  <c r="W174" i="4" s="1"/>
  <c r="P174" i="4"/>
  <c r="T174" i="4" s="1"/>
  <c r="Q174" i="4"/>
  <c r="U174" i="4" s="1"/>
  <c r="N177" i="4" l="1"/>
  <c r="M176" i="4"/>
  <c r="O176" i="4" s="1"/>
  <c r="S175" i="4"/>
  <c r="W175" i="4" s="1"/>
  <c r="R175" i="4"/>
  <c r="V175" i="4" s="1"/>
  <c r="Q175" i="4"/>
  <c r="U175" i="4" s="1"/>
  <c r="P175" i="4"/>
  <c r="T175" i="4" s="1"/>
  <c r="R176" i="4" l="1"/>
  <c r="V176" i="4" s="1"/>
  <c r="S176" i="4"/>
  <c r="W176" i="4" s="1"/>
  <c r="P176" i="4"/>
  <c r="T176" i="4" s="1"/>
  <c r="Q176" i="4"/>
  <c r="U176" i="4" s="1"/>
  <c r="M177" i="4"/>
  <c r="O177" i="4" s="1"/>
  <c r="N178" i="4"/>
  <c r="M178" i="4" l="1"/>
  <c r="O178" i="4" s="1"/>
  <c r="N179" i="4"/>
  <c r="S177" i="4"/>
  <c r="W177" i="4" s="1"/>
  <c r="R177" i="4"/>
  <c r="V177" i="4" s="1"/>
  <c r="Q177" i="4"/>
  <c r="U177" i="4" s="1"/>
  <c r="P177" i="4"/>
  <c r="T177" i="4" s="1"/>
  <c r="M179" i="4" l="1"/>
  <c r="O179" i="4" s="1"/>
  <c r="N180" i="4"/>
  <c r="R178" i="4"/>
  <c r="V178" i="4" s="1"/>
  <c r="S178" i="4"/>
  <c r="W178" i="4" s="1"/>
  <c r="Q178" i="4"/>
  <c r="U178" i="4" s="1"/>
  <c r="P178" i="4"/>
  <c r="T178" i="4" s="1"/>
  <c r="M180" i="4" l="1"/>
  <c r="O180" i="4" s="1"/>
  <c r="N181" i="4"/>
  <c r="R179" i="4"/>
  <c r="V179" i="4" s="1"/>
  <c r="S179" i="4"/>
  <c r="W179" i="4" s="1"/>
  <c r="P179" i="4"/>
  <c r="T179" i="4" s="1"/>
  <c r="Q179" i="4"/>
  <c r="U179" i="4" s="1"/>
  <c r="N182" i="4" l="1"/>
  <c r="M181" i="4"/>
  <c r="O181" i="4" s="1"/>
  <c r="R180" i="4"/>
  <c r="V180" i="4" s="1"/>
  <c r="S180" i="4"/>
  <c r="W180" i="4" s="1"/>
  <c r="Q180" i="4"/>
  <c r="U180" i="4" s="1"/>
  <c r="P180" i="4"/>
  <c r="T180" i="4" s="1"/>
  <c r="R181" i="4" l="1"/>
  <c r="V181" i="4" s="1"/>
  <c r="S181" i="4"/>
  <c r="W181" i="4" s="1"/>
  <c r="P181" i="4"/>
  <c r="T181" i="4" s="1"/>
  <c r="Q181" i="4"/>
  <c r="U181" i="4" s="1"/>
  <c r="N183" i="4"/>
  <c r="M182" i="4"/>
  <c r="O182" i="4" s="1"/>
  <c r="S182" i="4" l="1"/>
  <c r="W182" i="4" s="1"/>
  <c r="R182" i="4"/>
  <c r="V182" i="4" s="1"/>
  <c r="Q182" i="4"/>
  <c r="U182" i="4" s="1"/>
  <c r="P182" i="4"/>
  <c r="T182" i="4" s="1"/>
  <c r="M183" i="4"/>
  <c r="O183" i="4" s="1"/>
  <c r="N184" i="4"/>
  <c r="N185" i="4" l="1"/>
  <c r="M184" i="4"/>
  <c r="O184" i="4" s="1"/>
  <c r="R183" i="4"/>
  <c r="V183" i="4" s="1"/>
  <c r="S183" i="4"/>
  <c r="W183" i="4" s="1"/>
  <c r="P183" i="4"/>
  <c r="T183" i="4" s="1"/>
  <c r="Q183" i="4"/>
  <c r="U183" i="4" s="1"/>
  <c r="R184" i="4" l="1"/>
  <c r="V184" i="4" s="1"/>
  <c r="S184" i="4"/>
  <c r="W184" i="4" s="1"/>
  <c r="Q184" i="4"/>
  <c r="U184" i="4" s="1"/>
  <c r="P184" i="4"/>
  <c r="T184" i="4" s="1"/>
  <c r="N186" i="4"/>
  <c r="M185" i="4"/>
  <c r="O185" i="4" s="1"/>
  <c r="S185" i="4" l="1"/>
  <c r="W185" i="4" s="1"/>
  <c r="R185" i="4"/>
  <c r="V185" i="4" s="1"/>
  <c r="P185" i="4"/>
  <c r="T185" i="4" s="1"/>
  <c r="Q185" i="4"/>
  <c r="U185" i="4" s="1"/>
  <c r="M186" i="4"/>
  <c r="O186" i="4" s="1"/>
  <c r="N187" i="4"/>
  <c r="S186" i="4" l="1"/>
  <c r="W186" i="4" s="1"/>
  <c r="R186" i="4"/>
  <c r="V186" i="4" s="1"/>
  <c r="Q186" i="4"/>
  <c r="U186" i="4" s="1"/>
  <c r="P186" i="4"/>
  <c r="T186" i="4" s="1"/>
  <c r="N188" i="4"/>
  <c r="M187" i="4"/>
  <c r="O187" i="4" s="1"/>
  <c r="S187" i="4" l="1"/>
  <c r="W187" i="4" s="1"/>
  <c r="R187" i="4"/>
  <c r="V187" i="4" s="1"/>
  <c r="Q187" i="4"/>
  <c r="U187" i="4" s="1"/>
  <c r="P187" i="4"/>
  <c r="T187" i="4" s="1"/>
  <c r="M188" i="4"/>
  <c r="O188" i="4" s="1"/>
  <c r="N189" i="4"/>
  <c r="N190" i="4" l="1"/>
  <c r="M189" i="4"/>
  <c r="O189" i="4" s="1"/>
  <c r="R188" i="4"/>
  <c r="V188" i="4" s="1"/>
  <c r="S188" i="4"/>
  <c r="W188" i="4" s="1"/>
  <c r="P188" i="4"/>
  <c r="T188" i="4" s="1"/>
  <c r="Q188" i="4"/>
  <c r="U188" i="4" s="1"/>
  <c r="R189" i="4" l="1"/>
  <c r="V189" i="4" s="1"/>
  <c r="S189" i="4"/>
  <c r="W189" i="4" s="1"/>
  <c r="Q189" i="4"/>
  <c r="U189" i="4" s="1"/>
  <c r="P189" i="4"/>
  <c r="T189" i="4" s="1"/>
  <c r="N191" i="4"/>
  <c r="M190" i="4"/>
  <c r="O190" i="4" s="1"/>
  <c r="R190" i="4" l="1"/>
  <c r="V190" i="4" s="1"/>
  <c r="S190" i="4"/>
  <c r="W190" i="4" s="1"/>
  <c r="P190" i="4"/>
  <c r="T190" i="4" s="1"/>
  <c r="Q190" i="4"/>
  <c r="U190" i="4" s="1"/>
  <c r="M191" i="4"/>
  <c r="O191" i="4" s="1"/>
  <c r="N192" i="4"/>
  <c r="N193" i="4" l="1"/>
  <c r="M193" i="4" s="1"/>
  <c r="O193" i="4" s="1"/>
  <c r="M192" i="4"/>
  <c r="O192" i="4" s="1"/>
  <c r="S191" i="4"/>
  <c r="W191" i="4" s="1"/>
  <c r="R191" i="4"/>
  <c r="V191" i="4" s="1"/>
  <c r="Q191" i="4"/>
  <c r="U191" i="4" s="1"/>
  <c r="P191" i="4"/>
  <c r="T191" i="4" s="1"/>
  <c r="S192" i="4" l="1"/>
  <c r="W192" i="4" s="1"/>
  <c r="R192" i="4"/>
  <c r="V192" i="4" s="1"/>
  <c r="P192" i="4"/>
  <c r="T192" i="4" s="1"/>
  <c r="Q192" i="4"/>
  <c r="U192" i="4" s="1"/>
  <c r="R193" i="4"/>
  <c r="V193" i="4" s="1"/>
  <c r="S193" i="4"/>
  <c r="W193" i="4" s="1"/>
  <c r="Q193" i="4"/>
  <c r="U193" i="4" s="1"/>
  <c r="P193" i="4"/>
  <c r="T193" i="4" s="1"/>
  <c r="U10" i="7" l="1"/>
  <c r="U11" i="7" l="1"/>
  <c r="U12" i="7"/>
  <c r="V13" i="7" l="1"/>
  <c r="V14" i="7" s="1"/>
  <c r="U13" i="7" l="1"/>
  <c r="V15" i="7" l="1"/>
  <c r="U15" i="7" s="1"/>
  <c r="V16" i="7"/>
  <c r="U14" i="7"/>
  <c r="U16" i="7" l="1"/>
  <c r="V17" i="7"/>
  <c r="V18" i="7" l="1"/>
  <c r="U17" i="7"/>
  <c r="C26" i="7" s="1"/>
  <c r="C32" i="7" l="1"/>
  <c r="D32" i="7" s="1"/>
  <c r="M12" i="2"/>
  <c r="U18" i="7"/>
  <c r="V19" i="7"/>
  <c r="U19" i="7" l="1"/>
  <c r="V20" i="7"/>
  <c r="U20" i="7" s="1"/>
  <c r="C33" i="7"/>
  <c r="D33" i="7" s="1"/>
  <c r="V21" i="7" l="1"/>
  <c r="V22" i="7" s="1"/>
  <c r="U21" i="7" l="1"/>
  <c r="V24" i="7" l="1"/>
  <c r="V23" i="7"/>
  <c r="U23" i="7" s="1"/>
  <c r="O10" i="2" s="1"/>
  <c r="U22" i="7"/>
  <c r="U24" i="7" l="1"/>
  <c r="V25" i="7"/>
  <c r="J38" i="2"/>
  <c r="C25" i="7"/>
  <c r="D25" i="7" s="1"/>
  <c r="J60" i="2"/>
  <c r="J59" i="2" s="1"/>
  <c r="M194" i="4"/>
  <c r="E25" i="7"/>
  <c r="K38" i="2" l="1"/>
  <c r="J39" i="2"/>
  <c r="J37" i="2"/>
  <c r="V28" i="7"/>
  <c r="U25" i="7"/>
  <c r="X194" i="4" s="1"/>
  <c r="H25" i="7" l="1"/>
  <c r="R60" i="2"/>
  <c r="R59" i="2" s="1"/>
  <c r="F25" i="7"/>
  <c r="G25" i="7" s="1"/>
  <c r="J40" i="2"/>
  <c r="K39" i="2"/>
  <c r="U28" i="7"/>
  <c r="V29" i="7"/>
  <c r="U29" i="7" s="1"/>
  <c r="K37" i="2"/>
  <c r="J36" i="2"/>
  <c r="N38" i="2"/>
  <c r="Q38" i="2" s="1"/>
  <c r="L38" i="2"/>
  <c r="O38" i="2" s="1"/>
  <c r="L39" i="2" l="1"/>
  <c r="O39" i="2" s="1"/>
  <c r="N39" i="2"/>
  <c r="Q39" i="2" s="1"/>
  <c r="K40" i="2"/>
  <c r="J41" i="2"/>
  <c r="J35" i="2"/>
  <c r="K36" i="2"/>
  <c r="N37" i="2"/>
  <c r="Q37" i="2" s="1"/>
  <c r="L37" i="2"/>
  <c r="O37" i="2" s="1"/>
  <c r="M13" i="2"/>
  <c r="E32" i="7"/>
  <c r="G32" i="7" s="1"/>
  <c r="E33" i="7"/>
  <c r="G33" i="7" s="1"/>
  <c r="K35" i="2" l="1"/>
  <c r="M35" i="2" s="1"/>
  <c r="P35" i="2" s="1"/>
  <c r="J34" i="2"/>
  <c r="L36" i="2"/>
  <c r="O36" i="2" s="1"/>
  <c r="N36" i="2"/>
  <c r="Q36" i="2" s="1"/>
  <c r="K41" i="2"/>
  <c r="M41" i="2" s="1"/>
  <c r="P41" i="2" s="1"/>
  <c r="J42" i="2"/>
  <c r="L40" i="2"/>
  <c r="O40" i="2" s="1"/>
  <c r="N40" i="2"/>
  <c r="Q40" i="2" s="1"/>
  <c r="M38" i="2"/>
  <c r="P38" i="2" s="1"/>
  <c r="M36" i="2"/>
  <c r="P36" i="2" s="1"/>
  <c r="M37" i="2"/>
  <c r="P37" i="2" s="1"/>
  <c r="M39" i="2"/>
  <c r="P39" i="2" s="1"/>
  <c r="M40" i="2"/>
  <c r="P40" i="2" s="1"/>
  <c r="K42" i="2" l="1"/>
  <c r="J43" i="2"/>
  <c r="N41" i="2"/>
  <c r="Q41" i="2" s="1"/>
  <c r="L41" i="2"/>
  <c r="O41" i="2" s="1"/>
  <c r="K34" i="2"/>
  <c r="J33" i="2"/>
  <c r="N35" i="2"/>
  <c r="Q35" i="2" s="1"/>
  <c r="L35" i="2"/>
  <c r="O35" i="2" s="1"/>
  <c r="K33" i="2" l="1"/>
  <c r="J32" i="2"/>
  <c r="L34" i="2"/>
  <c r="O34" i="2" s="1"/>
  <c r="N34" i="2"/>
  <c r="Q34" i="2" s="1"/>
  <c r="M34" i="2"/>
  <c r="P34" i="2" s="1"/>
  <c r="K43" i="2"/>
  <c r="J44" i="2"/>
  <c r="N42" i="2"/>
  <c r="Q42" i="2" s="1"/>
  <c r="L42" i="2"/>
  <c r="O42" i="2" s="1"/>
  <c r="M42" i="2"/>
  <c r="P42" i="2" s="1"/>
  <c r="J45" i="2" l="1"/>
  <c r="K44" i="2"/>
  <c r="N43" i="2"/>
  <c r="Q43" i="2" s="1"/>
  <c r="L43" i="2"/>
  <c r="O43" i="2" s="1"/>
  <c r="M43" i="2"/>
  <c r="P43" i="2" s="1"/>
  <c r="K32" i="2"/>
  <c r="J31" i="2"/>
  <c r="N33" i="2"/>
  <c r="Q33" i="2" s="1"/>
  <c r="L33" i="2"/>
  <c r="O33" i="2" s="1"/>
  <c r="M33" i="2"/>
  <c r="P33" i="2" s="1"/>
  <c r="N32" i="2" l="1"/>
  <c r="Q32" i="2" s="1"/>
  <c r="L32" i="2"/>
  <c r="O32" i="2" s="1"/>
  <c r="M32" i="2"/>
  <c r="P32" i="2" s="1"/>
  <c r="K31" i="2"/>
  <c r="J30" i="2"/>
  <c r="L44" i="2"/>
  <c r="O44" i="2" s="1"/>
  <c r="N44" i="2"/>
  <c r="Q44" i="2" s="1"/>
  <c r="M44" i="2"/>
  <c r="P44" i="2" s="1"/>
  <c r="J46" i="2"/>
  <c r="K45" i="2"/>
  <c r="N31" i="2" l="1"/>
  <c r="Q31" i="2" s="1"/>
  <c r="L31" i="2"/>
  <c r="O31" i="2" s="1"/>
  <c r="M31" i="2"/>
  <c r="P31" i="2" s="1"/>
  <c r="K30" i="2"/>
  <c r="J29" i="2"/>
  <c r="L45" i="2"/>
  <c r="O45" i="2" s="1"/>
  <c r="N45" i="2"/>
  <c r="Q45" i="2" s="1"/>
  <c r="M45" i="2"/>
  <c r="P45" i="2" s="1"/>
  <c r="J47" i="2"/>
  <c r="K46" i="2"/>
  <c r="K29" i="2" l="1"/>
  <c r="J28" i="2"/>
  <c r="L30" i="2"/>
  <c r="O30" i="2" s="1"/>
  <c r="N30" i="2"/>
  <c r="Q30" i="2" s="1"/>
  <c r="M30" i="2"/>
  <c r="P30" i="2" s="1"/>
  <c r="L46" i="2"/>
  <c r="O46" i="2" s="1"/>
  <c r="N46" i="2"/>
  <c r="Q46" i="2" s="1"/>
  <c r="M46" i="2"/>
  <c r="P46" i="2" s="1"/>
  <c r="J48" i="2"/>
  <c r="K47" i="2"/>
  <c r="J27" i="2" l="1"/>
  <c r="K28" i="2"/>
  <c r="N47" i="2"/>
  <c r="Q47" i="2" s="1"/>
  <c r="L47" i="2"/>
  <c r="O47" i="2" s="1"/>
  <c r="M47" i="2"/>
  <c r="P47" i="2" s="1"/>
  <c r="J49" i="2"/>
  <c r="K48" i="2"/>
  <c r="L29" i="2"/>
  <c r="O29" i="2" s="1"/>
  <c r="N29" i="2"/>
  <c r="Q29" i="2" s="1"/>
  <c r="M29" i="2"/>
  <c r="P29" i="2" s="1"/>
  <c r="K49" i="2" l="1"/>
  <c r="J50" i="2"/>
  <c r="N48" i="2"/>
  <c r="Q48" i="2" s="1"/>
  <c r="L48" i="2"/>
  <c r="O48" i="2" s="1"/>
  <c r="M48" i="2"/>
  <c r="P48" i="2" s="1"/>
  <c r="L28" i="2"/>
  <c r="O28" i="2" s="1"/>
  <c r="N28" i="2"/>
  <c r="Q28" i="2" s="1"/>
  <c r="M28" i="2"/>
  <c r="P28" i="2" s="1"/>
  <c r="J26" i="2"/>
  <c r="K27" i="2"/>
  <c r="K50" i="2" l="1"/>
  <c r="J51" i="2"/>
  <c r="N27" i="2"/>
  <c r="Q27" i="2" s="1"/>
  <c r="L27" i="2"/>
  <c r="O27" i="2" s="1"/>
  <c r="M27" i="2"/>
  <c r="P27" i="2" s="1"/>
  <c r="J25" i="2"/>
  <c r="K26" i="2"/>
  <c r="N49" i="2"/>
  <c r="Q49" i="2" s="1"/>
  <c r="L49" i="2"/>
  <c r="O49" i="2" s="1"/>
  <c r="M49" i="2"/>
  <c r="P49" i="2" s="1"/>
  <c r="L26" i="2" l="1"/>
  <c r="O26" i="2" s="1"/>
  <c r="N26" i="2"/>
  <c r="Q26" i="2" s="1"/>
  <c r="M26" i="2"/>
  <c r="P26" i="2" s="1"/>
  <c r="K25" i="2"/>
  <c r="J24" i="2"/>
  <c r="K51" i="2"/>
  <c r="J52" i="2"/>
  <c r="L50" i="2"/>
  <c r="O50" i="2" s="1"/>
  <c r="N50" i="2"/>
  <c r="Q50" i="2" s="1"/>
  <c r="M50" i="2"/>
  <c r="P50" i="2" s="1"/>
  <c r="J23" i="2" l="1"/>
  <c r="K24" i="2"/>
  <c r="K52" i="2"/>
  <c r="J53" i="2"/>
  <c r="N51" i="2"/>
  <c r="Q51" i="2" s="1"/>
  <c r="L51" i="2"/>
  <c r="O51" i="2" s="1"/>
  <c r="M51" i="2"/>
  <c r="P51" i="2" s="1"/>
  <c r="N25" i="2"/>
  <c r="Q25" i="2" s="1"/>
  <c r="L25" i="2"/>
  <c r="O25" i="2" s="1"/>
  <c r="M25" i="2"/>
  <c r="P25" i="2" s="1"/>
  <c r="K53" i="2" l="1"/>
  <c r="J54" i="2"/>
  <c r="L52" i="2"/>
  <c r="O52" i="2" s="1"/>
  <c r="N52" i="2"/>
  <c r="Q52" i="2" s="1"/>
  <c r="M52" i="2"/>
  <c r="P52" i="2" s="1"/>
  <c r="L24" i="2"/>
  <c r="O24" i="2" s="1"/>
  <c r="N24" i="2"/>
  <c r="Q24" i="2" s="1"/>
  <c r="M24" i="2"/>
  <c r="P24" i="2" s="1"/>
  <c r="K23" i="2"/>
  <c r="J22" i="2"/>
  <c r="J55" i="2" l="1"/>
  <c r="K54" i="2"/>
  <c r="J21" i="2"/>
  <c r="K22" i="2"/>
  <c r="N23" i="2"/>
  <c r="Q23" i="2" s="1"/>
  <c r="L23" i="2"/>
  <c r="O23" i="2" s="1"/>
  <c r="M23" i="2"/>
  <c r="P23" i="2" s="1"/>
  <c r="N53" i="2"/>
  <c r="Q53" i="2" s="1"/>
  <c r="L53" i="2"/>
  <c r="O53" i="2" s="1"/>
  <c r="M53" i="2"/>
  <c r="P53" i="2" s="1"/>
  <c r="N22" i="2" l="1"/>
  <c r="Q22" i="2" s="1"/>
  <c r="L22" i="2"/>
  <c r="O22" i="2" s="1"/>
  <c r="M22" i="2"/>
  <c r="P22" i="2" s="1"/>
  <c r="K21" i="2"/>
  <c r="J20" i="2"/>
  <c r="N54" i="2"/>
  <c r="Q54" i="2" s="1"/>
  <c r="L54" i="2"/>
  <c r="O54" i="2" s="1"/>
  <c r="M54" i="2"/>
  <c r="P54" i="2" s="1"/>
  <c r="J56" i="2"/>
  <c r="K55" i="2"/>
  <c r="K20" i="2" l="1"/>
  <c r="J19" i="2"/>
  <c r="L21" i="2"/>
  <c r="O21" i="2" s="1"/>
  <c r="N21" i="2"/>
  <c r="Q21" i="2" s="1"/>
  <c r="M21" i="2"/>
  <c r="P21" i="2" s="1"/>
  <c r="L55" i="2"/>
  <c r="O55" i="2" s="1"/>
  <c r="N55" i="2"/>
  <c r="Q55" i="2" s="1"/>
  <c r="M55" i="2"/>
  <c r="P55" i="2" s="1"/>
  <c r="J57" i="2"/>
  <c r="K56" i="2"/>
  <c r="J18" i="2" l="1"/>
  <c r="K18" i="2" s="1"/>
  <c r="K19" i="2"/>
  <c r="L56" i="2"/>
  <c r="O56" i="2" s="1"/>
  <c r="N56" i="2"/>
  <c r="Q56" i="2" s="1"/>
  <c r="M56" i="2"/>
  <c r="P56" i="2" s="1"/>
  <c r="J58" i="2"/>
  <c r="K58" i="2" s="1"/>
  <c r="K57" i="2"/>
  <c r="N20" i="2"/>
  <c r="Q20" i="2" s="1"/>
  <c r="L20" i="2"/>
  <c r="O20" i="2" s="1"/>
  <c r="M20" i="2"/>
  <c r="P20" i="2" s="1"/>
  <c r="N57" i="2" l="1"/>
  <c r="Q57" i="2" s="1"/>
  <c r="L57" i="2"/>
  <c r="O57" i="2" s="1"/>
  <c r="M57" i="2"/>
  <c r="P57" i="2" s="1"/>
  <c r="L19" i="2"/>
  <c r="O19" i="2" s="1"/>
  <c r="N19" i="2"/>
  <c r="Q19" i="2" s="1"/>
  <c r="M19" i="2"/>
  <c r="P19" i="2" s="1"/>
  <c r="N58" i="2"/>
  <c r="Q58" i="2" s="1"/>
  <c r="L58" i="2"/>
  <c r="O58" i="2" s="1"/>
  <c r="M58" i="2"/>
  <c r="P58" i="2" s="1"/>
  <c r="L18" i="2"/>
  <c r="O18" i="2" s="1"/>
  <c r="N18" i="2"/>
  <c r="Q18" i="2" s="1"/>
  <c r="M18" i="2"/>
  <c r="P18" i="2" s="1"/>
</calcChain>
</file>

<file path=xl/sharedStrings.xml><?xml version="1.0" encoding="utf-8"?>
<sst xmlns="http://schemas.openxmlformats.org/spreadsheetml/2006/main" count="184" uniqueCount="173">
  <si>
    <t>Datum:</t>
  </si>
  <si>
    <t>Uhrzeit UT1:</t>
  </si>
  <si>
    <t>Sextantenablesung:</t>
  </si>
  <si>
    <t>Augeshöhe:</t>
  </si>
  <si>
    <t>Grad</t>
  </si>
  <si>
    <t xml:space="preserve"> nm</t>
  </si>
  <si>
    <t>UR</t>
  </si>
  <si>
    <t xml:space="preserve">Indexberichtigung Beob. 1: </t>
  </si>
  <si>
    <t xml:space="preserve">Indexberichtigung Beob. 2: </t>
  </si>
  <si>
    <t>h</t>
  </si>
  <si>
    <t xml:space="preserve">Schiffsmittag: </t>
  </si>
  <si>
    <t>U</t>
  </si>
  <si>
    <t>Sextantenablesung :</t>
  </si>
  <si>
    <t>Gesamtbeschickung :</t>
  </si>
  <si>
    <t>Zusatzbeschickung :</t>
  </si>
  <si>
    <t>Indexberichtigung :</t>
  </si>
  <si>
    <t>Bogenmaß :</t>
  </si>
  <si>
    <t>beobachtete Höhe:</t>
  </si>
  <si>
    <t>Grad Minuten :</t>
  </si>
  <si>
    <t>Zeit UT1:</t>
  </si>
  <si>
    <t>Greenwichwinkel Grt:</t>
  </si>
  <si>
    <r>
      <t xml:space="preserve">Deklination </t>
    </r>
    <r>
      <rPr>
        <sz val="11"/>
        <color theme="1"/>
        <rFont val="Symbol"/>
        <charset val="2"/>
      </rPr>
      <t>d</t>
    </r>
    <r>
      <rPr>
        <sz val="11"/>
        <color theme="1"/>
        <rFont val="Helvetica Neue"/>
        <family val="2"/>
      </rPr>
      <t>:</t>
    </r>
  </si>
  <si>
    <t>LHA:</t>
  </si>
  <si>
    <t>beobachtete Höhe h:</t>
  </si>
  <si>
    <t>Bezeichnung</t>
  </si>
  <si>
    <t xml:space="preserve">LHA = </t>
  </si>
  <si>
    <t>Azimut Az:</t>
  </si>
  <si>
    <t>UTC</t>
  </si>
  <si>
    <t>F =</t>
  </si>
  <si>
    <t>W =</t>
  </si>
  <si>
    <t>G =</t>
  </si>
  <si>
    <r>
      <rPr>
        <sz val="12"/>
        <color theme="1"/>
        <rFont val="Symbol"/>
        <charset val="2"/>
      </rPr>
      <t>j</t>
    </r>
    <r>
      <rPr>
        <sz val="12"/>
        <color theme="1"/>
        <rFont val="Calibri"/>
        <family val="2"/>
        <charset val="2"/>
        <scheme val="minor"/>
      </rPr>
      <t xml:space="preserve"> =</t>
    </r>
  </si>
  <si>
    <t>z =</t>
  </si>
  <si>
    <t>distance made good:</t>
  </si>
  <si>
    <t>course made good:</t>
  </si>
  <si>
    <t xml:space="preserve">LHA' = </t>
  </si>
  <si>
    <t xml:space="preserve">z' = </t>
  </si>
  <si>
    <t>V =</t>
  </si>
  <si>
    <t>h_</t>
  </si>
  <si>
    <r>
      <rPr>
        <sz val="12"/>
        <color theme="1"/>
        <rFont val="Symbol"/>
        <charset val="2"/>
      </rPr>
      <t>q</t>
    </r>
    <r>
      <rPr>
        <sz val="12"/>
        <color theme="1"/>
        <rFont val="Calibri"/>
        <family val="2"/>
        <charset val="2"/>
        <scheme val="minor"/>
      </rPr>
      <t xml:space="preserve"> =</t>
    </r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</si>
  <si>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charset val="2"/>
        <scheme val="minor"/>
      </rPr>
      <t>* =</t>
    </r>
  </si>
  <si>
    <t xml:space="preserve">hs = </t>
  </si>
  <si>
    <t>Ws =</t>
  </si>
  <si>
    <t>Gs =</t>
  </si>
  <si>
    <r>
      <rPr>
        <sz val="12"/>
        <color theme="1"/>
        <rFont val="Symbol"/>
        <charset val="2"/>
      </rPr>
      <t>l</t>
    </r>
    <r>
      <rPr>
        <sz val="12"/>
        <color theme="1"/>
        <rFont val="Calibri (Textkörper)"/>
      </rPr>
      <t xml:space="preserve">s = </t>
    </r>
  </si>
  <si>
    <t>radiant</t>
  </si>
  <si>
    <t>Symbol</t>
  </si>
  <si>
    <t>Obs. 1</t>
  </si>
  <si>
    <t>Obs. 2</t>
  </si>
  <si>
    <t>COP 1</t>
  </si>
  <si>
    <t>COP 2</t>
  </si>
  <si>
    <t>Info for COP 2</t>
  </si>
  <si>
    <t>Position</t>
  </si>
  <si>
    <t>Standort und Versegelung</t>
  </si>
  <si>
    <t>Kennwort:     change</t>
  </si>
  <si>
    <t xml:space="preserve">Breitenbereich: </t>
  </si>
  <si>
    <t>versegelter Kurs:</t>
  </si>
  <si>
    <t>versegelte Strecke s:</t>
  </si>
  <si>
    <t>nm</t>
  </si>
  <si>
    <r>
      <t xml:space="preserve">versegelte Breite </t>
    </r>
    <r>
      <rPr>
        <sz val="12"/>
        <color theme="1"/>
        <rFont val="Symbol"/>
        <charset val="2"/>
      </rPr>
      <t>Dj</t>
    </r>
    <r>
      <rPr>
        <sz val="12"/>
        <color theme="1"/>
        <rFont val="Helvetica Neue"/>
        <family val="2"/>
      </rPr>
      <t>:</t>
    </r>
  </si>
  <si>
    <t xml:space="preserve">Schrittweite Breite: </t>
  </si>
  <si>
    <t>LHA° :</t>
  </si>
  <si>
    <t>LHA°_ :</t>
  </si>
  <si>
    <t>Standortgrafikbereich</t>
  </si>
  <si>
    <t>j</t>
  </si>
  <si>
    <t>lv</t>
  </si>
  <si>
    <r>
      <rPr>
        <sz val="12"/>
        <color theme="1"/>
        <rFont val="Symbol"/>
        <charset val="2"/>
      </rPr>
      <t>j</t>
    </r>
    <r>
      <rPr>
        <sz val="12"/>
        <color theme="1"/>
        <rFont val="Calibri (Textkörper)"/>
      </rPr>
      <t>s =</t>
    </r>
    <r>
      <rPr>
        <sz val="12"/>
        <color theme="1"/>
        <rFont val="Calibri"/>
        <family val="2"/>
        <charset val="2"/>
      </rPr>
      <t xml:space="preserve"> </t>
    </r>
  </si>
  <si>
    <r>
      <t>l</t>
    </r>
    <r>
      <rPr>
        <sz val="12"/>
        <color rgb="FF000000"/>
        <rFont val="Calibri (Textkörper)"/>
      </rPr>
      <t>*s =</t>
    </r>
    <r>
      <rPr>
        <sz val="12"/>
        <color rgb="FF000000"/>
        <rFont val="Symbol"/>
        <charset val="2"/>
      </rPr>
      <t xml:space="preserve"> </t>
    </r>
  </si>
  <si>
    <r>
      <t>versegelte Länge</t>
    </r>
    <r>
      <rPr>
        <sz val="12"/>
        <color theme="1"/>
        <rFont val="Symbol"/>
        <charset val="2"/>
      </rPr>
      <t xml:space="preserve"> Dl</t>
    </r>
    <r>
      <rPr>
        <sz val="12"/>
        <color theme="1"/>
        <rFont val="Helvetica Neue"/>
        <family val="2"/>
      </rPr>
      <t>:</t>
    </r>
  </si>
  <si>
    <r>
      <rPr>
        <sz val="12"/>
        <rFont val="Symbol"/>
        <charset val="2"/>
      </rPr>
      <t>j</t>
    </r>
    <r>
      <rPr>
        <sz val="9"/>
        <rFont val="Calibri"/>
        <family val="2"/>
      </rPr>
      <t>rad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</si>
  <si>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1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</si>
  <si>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2</t>
    </r>
  </si>
  <si>
    <r>
      <t>P</t>
    </r>
    <r>
      <rPr>
        <sz val="9"/>
        <rFont val="Symbol"/>
        <charset val="2"/>
      </rPr>
      <t>l</t>
    </r>
    <r>
      <rPr>
        <sz val="9"/>
        <rFont val="Calibri (Textkörper)"/>
      </rPr>
      <t>S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</si>
  <si>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1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</si>
  <si>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2</t>
    </r>
  </si>
  <si>
    <t>DMG</t>
  </si>
  <si>
    <r>
      <t xml:space="preserve">versegelte </t>
    </r>
    <r>
      <rPr>
        <sz val="14"/>
        <color theme="1"/>
        <rFont val="Symbol"/>
        <charset val="2"/>
      </rPr>
      <t xml:space="preserve">l </t>
    </r>
    <r>
      <rPr>
        <sz val="14"/>
        <color theme="1"/>
        <rFont val="Helvetica Neue"/>
        <family val="2"/>
      </rPr>
      <t>und</t>
    </r>
    <r>
      <rPr>
        <sz val="14"/>
        <color theme="1"/>
        <rFont val="Symbol"/>
        <charset val="2"/>
      </rPr>
      <t xml:space="preserve"> j</t>
    </r>
    <r>
      <rPr>
        <sz val="14"/>
        <color theme="1"/>
        <rFont val="Helvetica Neue"/>
        <family val="2"/>
      </rPr>
      <t xml:space="preserve"> für die Standortgrafik</t>
    </r>
  </si>
  <si>
    <r>
      <t>L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</si>
  <si>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 xml:space="preserve">T = </t>
  </si>
  <si>
    <t xml:space="preserve">L = </t>
  </si>
  <si>
    <r>
      <t>𝜛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</si>
  <si>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>M =</t>
  </si>
  <si>
    <t xml:space="preserve">e = </t>
  </si>
  <si>
    <r>
      <t>e</t>
    </r>
    <r>
      <rPr>
        <sz val="8"/>
        <color theme="1"/>
        <rFont val="Calibri (Textkörper)"/>
      </rPr>
      <t>rad</t>
    </r>
    <r>
      <rPr>
        <sz val="12"/>
        <color theme="1"/>
        <rFont val="Symbol"/>
        <charset val="2"/>
      </rPr>
      <t xml:space="preserve"> = </t>
    </r>
  </si>
  <si>
    <r>
      <t>g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</si>
  <si>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 xml:space="preserve">d = </t>
  </si>
  <si>
    <t xml:space="preserve">d° = </t>
  </si>
  <si>
    <t xml:space="preserve">_A1 = </t>
  </si>
  <si>
    <t xml:space="preserve">_A2 = </t>
  </si>
  <si>
    <t xml:space="preserve">_A3 = </t>
  </si>
  <si>
    <t xml:space="preserve">_A4 = </t>
  </si>
  <si>
    <t xml:space="preserve">_B1 = </t>
  </si>
  <si>
    <t xml:space="preserve">_B2 = </t>
  </si>
  <si>
    <t xml:space="preserve">_B3 = </t>
  </si>
  <si>
    <t xml:space="preserve">_B4 = </t>
  </si>
  <si>
    <t>Einstellungen</t>
  </si>
  <si>
    <t>Messung 1</t>
  </si>
  <si>
    <t>Versegelung</t>
  </si>
  <si>
    <t>Messung 2</t>
  </si>
  <si>
    <t>Ergebnis</t>
  </si>
  <si>
    <t>Zusatzinformationen</t>
  </si>
  <si>
    <t>Bahnparameter</t>
  </si>
  <si>
    <t>Zusatzbeschickung</t>
  </si>
  <si>
    <t>gewählt:</t>
  </si>
  <si>
    <t>Die Methode von Carl Friedrich Gauß</t>
  </si>
  <si>
    <t>Monat</t>
  </si>
  <si>
    <t xml:space="preserve">Grt = </t>
  </si>
  <si>
    <t xml:space="preserve">Grt° = </t>
  </si>
  <si>
    <t xml:space="preserve">C = </t>
  </si>
  <si>
    <t xml:space="preserve">Grt0 = </t>
  </si>
  <si>
    <t xml:space="preserve">Dat ref = </t>
  </si>
  <si>
    <t xml:space="preserve">eigene Standortbreite : </t>
  </si>
  <si>
    <t>Position calculation</t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</si>
  <si>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W-1</t>
    </r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</si>
  <si>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rad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</si>
  <si>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</si>
  <si>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</si>
  <si>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</si>
  <si>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</si>
  <si>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</si>
  <si>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</si>
  <si>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</si>
  <si>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</si>
  <si>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t>Schrittweiten in der Grafik</t>
  </si>
  <si>
    <t xml:space="preserve">Nordausdehnung grosser Kreis: </t>
  </si>
  <si>
    <t xml:space="preserve">Südausdehnung grosser Kreis: </t>
  </si>
  <si>
    <t xml:space="preserve">Nordausdehnung kleiner Kreis: </t>
  </si>
  <si>
    <t xml:space="preserve">Südausdehnung kleiner Kreis: </t>
  </si>
  <si>
    <t>Nordausdehnung wenn nur ein Kreis:</t>
  </si>
  <si>
    <t>Südausdehnung wenn nur ein Kreis:</t>
  </si>
  <si>
    <t>Durchmesser großer Kreis:</t>
  </si>
  <si>
    <t>Durchmesser kleiner Kreis:</t>
  </si>
  <si>
    <t>gegebene Stufenanzahl für gr. Kreis:</t>
  </si>
  <si>
    <t>proprtionale Stufenzakl für kl. Kreis:</t>
  </si>
  <si>
    <t>halbe Stufendifferenz (oben/ unten):</t>
  </si>
  <si>
    <t>Schrittweite in der Breite:</t>
  </si>
  <si>
    <t>Grafik Global</t>
  </si>
  <si>
    <t>Grafikberechnung</t>
  </si>
  <si>
    <t>globale Grafik</t>
  </si>
  <si>
    <t>Pos.</t>
  </si>
  <si>
    <t xml:space="preserve"> Sonnenrand Beob. 1: </t>
  </si>
  <si>
    <t xml:space="preserve"> Sonnenrand Beob. 2: </t>
  </si>
  <si>
    <t>Sun</t>
  </si>
  <si>
    <t>Beschickung der Sextantenablesung</t>
  </si>
  <si>
    <t>Sonnenpositionen</t>
  </si>
  <si>
    <t>N</t>
  </si>
  <si>
    <t>sun navigation</t>
  </si>
  <si>
    <r>
      <t xml:space="preserve">Passwort:  </t>
    </r>
    <r>
      <rPr>
        <b/>
        <sz val="16"/>
        <rFont val="Helvetica Neue"/>
        <family val="2"/>
      </rPr>
      <t>change</t>
    </r>
  </si>
  <si>
    <t xml:space="preserve"> m</t>
  </si>
  <si>
    <t xml:space="preserve">Datumsdifferenz : </t>
  </si>
  <si>
    <t xml:space="preserve">TT.MM.JJ: </t>
  </si>
  <si>
    <t>Name</t>
  </si>
  <si>
    <t>q</t>
  </si>
  <si>
    <t>F</t>
  </si>
  <si>
    <t>V</t>
  </si>
  <si>
    <t>W</t>
  </si>
  <si>
    <t>G</t>
  </si>
  <si>
    <t>_l</t>
  </si>
  <si>
    <t>LHA</t>
  </si>
  <si>
    <t>Az</t>
  </si>
  <si>
    <t>hs</t>
  </si>
  <si>
    <t>Ws</t>
  </si>
  <si>
    <t>Gs</t>
  </si>
  <si>
    <t>js</t>
  </si>
  <si>
    <t>_ls</t>
  </si>
  <si>
    <t>ls</t>
  </si>
  <si>
    <t>LHA_</t>
  </si>
  <si>
    <t>z_</t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</si>
  <si>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scheme val="minor"/>
      </rPr>
      <t>0 =</t>
    </r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</si>
  <si>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scheme val="minor"/>
      </rPr>
      <t>0s =</t>
    </r>
    <r>
      <rPr>
        <sz val="12"/>
        <color theme="1"/>
        <rFont val="Calibri"/>
        <family val="2"/>
        <charset val="2"/>
        <scheme val="minor"/>
      </rPr>
      <t xml:space="preserve"> </t>
    </r>
  </si>
  <si>
    <t>lam0s</t>
  </si>
  <si>
    <t>lam0</t>
  </si>
  <si>
    <t xml:space="preserve">P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</si>
</sst>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164" formatCode="0.0000"/>
    <numFmt numFmtId="165" formatCode="0.000"/>
    <numFmt numFmtId="166" formatCode="0.0"/>
    <numFmt numFmtId="167" formatCode="[$-407]d/\ mmm/;@"/>
    <numFmt numFmtId="168" formatCode="[$-F400]h:mm:ss\ AM/PM"/>
    <numFmt numFmtId="169" formatCode="[$-407]d/\ mmm\ yy;@"/>
    <numFmt numFmtId="170" formatCode="0.000_ ;[Red]\-0.000\ "/>
    <numFmt numFmtId="171" formatCode="0.0000_ ;[Red]\-0.0000\ "/>
    <numFmt numFmtId="172" formatCode="0.00\°"/>
    <numFmt numFmtId="173" formatCode="0\°"/>
    <numFmt numFmtId="174" formatCode="0.000\°"/>
    <numFmt numFmtId="175" formatCode="000\°"/>
    <numFmt numFmtId="176" formatCode="0.00\'"/>
    <numFmt numFmtId="177" formatCode="0.0\'"/>
    <numFmt numFmtId="178" formatCode="0.00\°;[Red]0.00\°"/>
    <numFmt numFmtId="179" formatCode="0.00000"/>
    <numFmt numFmtId="180" formatCode="0.0\°"/>
    <numFmt numFmtId="181" formatCode="#,##0.00\ _€"/>
    <numFmt numFmtId="182" formatCode="0.00_ ;[Red]\-0.00\ "/>
    <numFmt numFmtId="183" formatCode="0.000000"/>
    <numFmt numFmtId="184" formatCode="0.0000E+00"/>
    <numFmt numFmtId="185" formatCode="d/m/yyyy;@"/>
  </numFmts>
  <fonts count="63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Lucida Calligraphy Italic"/>
    </font>
    <font>
      <b/>
      <sz val="18"/>
      <color theme="1"/>
      <name val="Lucida Calligraphy Italic"/>
    </font>
    <font>
      <sz val="12"/>
      <color theme="1"/>
      <name val="Helvetica Neue"/>
      <family val="2"/>
    </font>
    <font>
      <sz val="11"/>
      <color theme="1"/>
      <name val="Helvetica Neue"/>
      <family val="2"/>
    </font>
    <font>
      <sz val="10"/>
      <color theme="1"/>
      <name val="Helvetica Neue"/>
      <family val="2"/>
    </font>
    <font>
      <sz val="10"/>
      <color rgb="FFC00000"/>
      <name val="Helvetica Neue"/>
      <family val="2"/>
    </font>
    <font>
      <sz val="9"/>
      <color rgb="FFC00000"/>
      <name val="Helvetica Neue"/>
      <family val="2"/>
    </font>
    <font>
      <sz val="12"/>
      <color theme="1"/>
      <name val="Symbol"/>
      <charset val="2"/>
    </font>
    <font>
      <sz val="11"/>
      <color theme="1"/>
      <name val="Symbol"/>
      <charset val="2"/>
    </font>
    <font>
      <b/>
      <sz val="10"/>
      <color rgb="FFFF0000"/>
      <name val="Helvetica Neue"/>
      <family val="2"/>
    </font>
    <font>
      <sz val="11"/>
      <name val="Helvetica Neue"/>
      <family val="2"/>
    </font>
    <font>
      <sz val="11"/>
      <color theme="1"/>
      <name val="Calibri"/>
      <family val="2"/>
      <scheme val="minor"/>
    </font>
    <font>
      <sz val="14"/>
      <color theme="1"/>
      <name val="Helvetica Neue"/>
      <family val="2"/>
    </font>
    <font>
      <b/>
      <sz val="11"/>
      <color theme="1"/>
      <name val="Helvetica Neue"/>
      <family val="2"/>
    </font>
    <font>
      <sz val="10"/>
      <color theme="1"/>
      <name val="Calibri"/>
      <family val="2"/>
      <scheme val="minor"/>
    </font>
    <font>
      <sz val="11"/>
      <color rgb="FFC00000"/>
      <name val="Helvetica Neue"/>
      <family val="2"/>
    </font>
    <font>
      <sz val="10"/>
      <color theme="1"/>
      <name val="Lucida Calligraphy Italic"/>
    </font>
    <font>
      <sz val="12"/>
      <color rgb="FFC00000"/>
      <name val="Helvetica Neue"/>
      <family val="2"/>
    </font>
    <font>
      <b/>
      <sz val="12"/>
      <color theme="1"/>
      <name val="Helvetica Neue"/>
      <family val="2"/>
    </font>
    <font>
      <sz val="12"/>
      <name val="Helvetica Neue"/>
      <family val="2"/>
    </font>
    <font>
      <sz val="12"/>
      <color theme="1"/>
      <name val="Calibri"/>
      <family val="2"/>
      <charset val="2"/>
      <scheme val="minor"/>
    </font>
    <font>
      <sz val="12"/>
      <color theme="1"/>
      <name val="Calibri (Textkörper)"/>
    </font>
    <font>
      <sz val="1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name val="Helvetica Neue"/>
      <family val="2"/>
    </font>
    <font>
      <sz val="18"/>
      <color theme="1" tint="0.34998626667073579"/>
      <name val="Lucida Calligraphy Italic"/>
    </font>
    <font>
      <sz val="12"/>
      <color theme="0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rgb="FF000000"/>
      <name val="Symbol"/>
      <charset val="2"/>
    </font>
    <font>
      <sz val="12"/>
      <color rgb="FF000000"/>
      <name val="Calibri (Textkörper)"/>
    </font>
    <font>
      <sz val="12"/>
      <color theme="1"/>
      <name val="Calibri"/>
      <family val="2"/>
      <charset val="2"/>
    </font>
    <font>
      <sz val="8"/>
      <color theme="1"/>
      <name val="Calibri (Textkörper)_x0000_"/>
    </font>
    <font>
      <sz val="8"/>
      <color theme="1"/>
      <name val="Calibri (Textkörper)"/>
    </font>
    <font>
      <sz val="12"/>
      <color rgb="FFFF0000"/>
      <name val="Calibri"/>
      <family val="2"/>
      <scheme val="minor"/>
    </font>
    <font>
      <sz val="14"/>
      <color theme="1"/>
      <name val="Symbol"/>
      <charset val="2"/>
    </font>
    <font>
      <sz val="12"/>
      <name val="Symbol"/>
      <charset val="2"/>
    </font>
    <font>
      <sz val="12"/>
      <name val="Calibri"/>
      <family val="2"/>
      <charset val="2"/>
    </font>
    <font>
      <sz val="12"/>
      <name val="Helvetica Neue"/>
      <family val="2"/>
      <charset val="2"/>
    </font>
    <font>
      <sz val="9"/>
      <name val="Helvetica Neue"/>
      <family val="2"/>
      <charset val="2"/>
    </font>
    <font>
      <sz val="12"/>
      <color rgb="FF00B05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1"/>
      <color rgb="FF00B050"/>
      <name val="Helvetica Neue"/>
      <family val="2"/>
    </font>
    <font>
      <sz val="11"/>
      <color rgb="FFFF0000"/>
      <name val="Helvetica Neue"/>
      <family val="2"/>
    </font>
    <font>
      <sz val="11"/>
      <color theme="9" tint="-0.249977111117893"/>
      <name val="Helvetica Neue"/>
      <family val="2"/>
    </font>
    <font>
      <sz val="11"/>
      <color rgb="FF0070C0"/>
      <name val="Helvetica Neue"/>
      <family val="2"/>
    </font>
    <font>
      <sz val="9"/>
      <name val="Calibri"/>
      <family val="2"/>
    </font>
    <font>
      <sz val="9"/>
      <name val="Symbol"/>
      <charset val="2"/>
    </font>
    <font>
      <sz val="9"/>
      <name val="Helvetica Neue"/>
      <family val="2"/>
    </font>
    <font>
      <sz val="9"/>
      <name val="Calibri (Textkörper)"/>
    </font>
    <font>
      <sz val="18"/>
      <color rgb="FFC00000"/>
      <name val="Lucida Calligraphy Italic"/>
    </font>
    <font>
      <sz val="12"/>
      <color rgb="FF000000"/>
      <name val="Calibri"/>
      <family val="2"/>
      <scheme val="minor"/>
    </font>
    <font>
      <sz val="12"/>
      <color theme="1"/>
      <name val="Helvetica Neue"/>
      <family val="2"/>
      <charset val="2"/>
    </font>
    <font>
      <vertAlign val="subscript"/>
      <sz val="12"/>
      <color theme="1"/>
      <name val="Helvetica Neue"/>
      <family val="2"/>
    </font>
    <font>
      <b/>
      <sz val="12"/>
      <color theme="1"/>
      <name val="Lucida Calligraphy Italic"/>
    </font>
    <font>
      <b/>
      <sz val="16"/>
      <name val="Helvetica Neue"/>
      <family val="2"/>
    </font>
    <font>
      <sz val="14"/>
      <color theme="1"/>
      <name val="Calibri"/>
      <family val="2"/>
      <scheme val="minor"/>
    </font>
    <font>
      <b/>
      <sz val="12"/>
      <name val="Helvetica Neue"/>
      <family val="2"/>
    </font>
    <font>
      <b/>
      <sz val="12"/>
      <color rgb="FF000000"/>
      <name val="Helvetica Neue"/>
      <family val="2"/>
    </font>
    <font>
      <b/>
      <sz val="11"/>
      <color rgb="FFC00000"/>
      <name val="Helvetica Neue"/>
      <family val="2"/>
    </font>
    <font>
      <b/>
      <sz val="12"/>
      <color rgb="FFFF0000"/>
      <name val="Helvetica Neue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3"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 style="thin">
        <color rgb="FFC00000"/>
      </top>
      <bottom/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 style="thin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/>
      <top style="hair">
        <color rgb="FF00B050"/>
      </top>
      <bottom style="hair">
        <color rgb="FF00B05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/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medium">
        <color rgb="FF00B050"/>
      </bottom>
      <diagonal/>
    </border>
    <border>
      <left/>
      <right/>
      <top style="hair">
        <color rgb="FF00B050"/>
      </top>
      <bottom style="medium">
        <color rgb="FF00B050"/>
      </bottom>
      <diagonal/>
    </border>
    <border>
      <left/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 style="hair">
        <color rgb="FF00B050"/>
      </bottom>
      <diagonal/>
    </border>
    <border>
      <left/>
      <right/>
      <top/>
      <bottom style="hair">
        <color rgb="FF00B050"/>
      </bottom>
      <diagonal/>
    </border>
    <border>
      <left/>
      <right style="medium">
        <color rgb="FF00B050"/>
      </right>
      <top/>
      <bottom style="hair">
        <color rgb="FF00B05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hair">
        <color rgb="FFC00000"/>
      </bottom>
      <diagonal/>
    </border>
    <border>
      <left/>
      <right/>
      <top/>
      <bottom style="hair">
        <color rgb="FFC00000"/>
      </bottom>
      <diagonal/>
    </border>
    <border>
      <left/>
      <right style="thin">
        <color rgb="FFC00000"/>
      </right>
      <top/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thin">
        <color rgb="FFC00000"/>
      </bottom>
      <diagonal/>
    </border>
    <border>
      <left/>
      <right/>
      <top style="hair">
        <color rgb="FFC00000"/>
      </top>
      <bottom style="thin">
        <color rgb="FFC00000"/>
      </bottom>
      <diagonal/>
    </border>
    <border>
      <left style="thin">
        <color rgb="FFC00000"/>
      </left>
      <right/>
      <top style="hair">
        <color rgb="FFC00000"/>
      </top>
      <bottom style="thin">
        <color rgb="FFC00000"/>
      </bottom>
      <diagonal/>
    </border>
    <border>
      <left/>
      <right style="thin">
        <color rgb="FFC00000"/>
      </right>
      <top style="hair">
        <color rgb="FFC00000"/>
      </top>
      <bottom style="thin">
        <color rgb="FFC00000"/>
      </bottom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medium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/>
      <top style="thin">
        <color rgb="FFC00000"/>
      </top>
      <bottom style="hair">
        <color rgb="FFC00000"/>
      </bottom>
      <diagonal/>
    </border>
    <border>
      <left/>
      <right/>
      <top style="thin">
        <color rgb="FFC00000"/>
      </top>
      <bottom style="hair">
        <color rgb="FFC0000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medium">
        <color rgb="FFC00000"/>
      </right>
      <top style="hair">
        <color rgb="FFC00000"/>
      </top>
      <bottom/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rgb="FFFFC000"/>
      </right>
      <top/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hair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medium">
        <color theme="7"/>
      </right>
      <top/>
      <bottom style="hair">
        <color theme="7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medium">
        <color theme="7"/>
      </right>
      <top style="hair">
        <color theme="7"/>
      </top>
      <bottom/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/>
      <diagonal/>
    </border>
    <border>
      <left style="thin">
        <color rgb="FFC00000"/>
      </left>
      <right style="medium">
        <color rgb="FFC00000"/>
      </right>
      <top/>
      <bottom style="double">
        <color rgb="FFC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/>
      <diagonal/>
    </border>
    <border>
      <left/>
      <right/>
      <top style="medium">
        <color theme="2" tint="-0.24994659260841701"/>
      </top>
      <bottom/>
      <diagonal/>
    </border>
    <border>
      <left/>
      <right style="medium">
        <color theme="2" tint="-0.24994659260841701"/>
      </right>
      <top style="medium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hair">
        <color theme="7"/>
      </bottom>
      <diagonal/>
    </border>
    <border>
      <left style="thin">
        <color theme="7"/>
      </left>
      <right/>
      <top style="medium">
        <color theme="7"/>
      </top>
      <bottom style="hair">
        <color theme="7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theme="7"/>
      </left>
      <right style="medium">
        <color theme="7"/>
      </right>
      <top style="medium">
        <color theme="7"/>
      </top>
      <bottom style="hair">
        <color theme="7"/>
      </bottom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medium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medium">
        <color rgb="FFFFC000"/>
      </bottom>
      <diagonal/>
    </border>
    <border>
      <left/>
      <right style="thin">
        <color rgb="FFC00000"/>
      </right>
      <top/>
      <bottom/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thin">
        <color rgb="FFC00000"/>
      </left>
      <right/>
      <top style="medium">
        <color rgb="FFC00000"/>
      </top>
      <bottom/>
      <diagonal/>
    </border>
    <border>
      <left style="thin">
        <color rgb="FFC00000"/>
      </left>
      <right/>
      <top/>
      <bottom style="double">
        <color rgb="FFC00000"/>
      </bottom>
      <diagonal/>
    </border>
    <border>
      <left style="thin">
        <color rgb="FFC00000"/>
      </left>
      <right/>
      <top/>
      <bottom style="medium">
        <color rgb="FFC00000"/>
      </bottom>
      <diagonal/>
    </border>
    <border>
      <left style="thin">
        <color rgb="FFC00000"/>
      </left>
      <right/>
      <top style="medium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/>
      <diagonal/>
    </border>
    <border>
      <left style="thin">
        <color rgb="FFC00000"/>
      </left>
      <right/>
      <top style="hair">
        <color rgb="FFC00000"/>
      </top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 style="medium">
        <color rgb="FFC00000"/>
      </left>
      <right/>
      <top/>
      <bottom style="double">
        <color rgb="FFC00000"/>
      </bottom>
      <diagonal/>
    </border>
    <border>
      <left/>
      <right style="thin">
        <color rgb="FFC00000"/>
      </right>
      <top style="medium">
        <color rgb="FFC00000"/>
      </top>
      <bottom/>
      <diagonal/>
    </border>
    <border>
      <left/>
      <right style="thin">
        <color rgb="FFC00000"/>
      </right>
      <top/>
      <bottom style="double">
        <color rgb="FFC00000"/>
      </bottom>
      <diagonal/>
    </border>
  </borders>
  <cellStyleXfs count="17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31">
    <xf numFmtId="0" fontId="0" fillId="0" borderId="0" xfId="0"/>
    <xf numFmtId="0" fontId="7" fillId="0" borderId="0" xfId="0" applyFont="1" applyProtection="1"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protection hidden="1"/>
    </xf>
    <xf numFmtId="0" fontId="4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164" fontId="0" fillId="0" borderId="0" xfId="0" applyNumberFormat="1" applyProtection="1">
      <protection hidden="1"/>
    </xf>
    <xf numFmtId="0" fontId="0" fillId="0" borderId="0" xfId="0" applyAlignment="1" applyProtection="1">
      <alignment vertical="center"/>
      <protection hidden="1"/>
    </xf>
    <xf numFmtId="16" fontId="7" fillId="0" borderId="0" xfId="0" applyNumberFormat="1" applyFont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righ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5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7" fillId="0" borderId="0" xfId="0" applyFont="1" applyAlignment="1" applyProtection="1">
      <alignment vertical="center"/>
      <protection hidden="1"/>
    </xf>
    <xf numFmtId="0" fontId="9" fillId="0" borderId="5" xfId="0" applyFont="1" applyBorder="1" applyAlignment="1" applyProtection="1">
      <alignment horizontal="right" vertical="center"/>
      <protection hidden="1"/>
    </xf>
    <xf numFmtId="0" fontId="18" fillId="0" borderId="2" xfId="0" applyFont="1" applyBorder="1" applyAlignment="1" applyProtection="1">
      <alignment horizontal="right" vertical="center"/>
      <protection hidden="1"/>
    </xf>
    <xf numFmtId="173" fontId="6" fillId="2" borderId="1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Border="1" applyAlignment="1" applyProtection="1">
      <alignment horizontal="right" vertical="center"/>
      <protection hidden="1"/>
    </xf>
    <xf numFmtId="0" fontId="6" fillId="0" borderId="6" xfId="0" applyFont="1" applyBorder="1" applyAlignment="1" applyProtection="1">
      <alignment horizontal="right"/>
      <protection hidden="1"/>
    </xf>
    <xf numFmtId="0" fontId="6" fillId="0" borderId="7" xfId="0" applyFont="1" applyBorder="1" applyAlignment="1" applyProtection="1">
      <alignment horizontal="right"/>
      <protection hidden="1"/>
    </xf>
    <xf numFmtId="177" fontId="6" fillId="2" borderId="3" xfId="0" applyNumberFormat="1" applyFont="1" applyFill="1" applyBorder="1" applyAlignment="1" applyProtection="1">
      <alignment horizontal="center" vertical="center"/>
      <protection locked="0"/>
    </xf>
    <xf numFmtId="165" fontId="20" fillId="0" borderId="4" xfId="0" applyNumberFormat="1" applyFont="1" applyBorder="1" applyAlignment="1" applyProtection="1">
      <alignment horizontal="center" vertical="center"/>
      <protection hidden="1"/>
    </xf>
    <xf numFmtId="165" fontId="5" fillId="0" borderId="0" xfId="0" applyNumberFormat="1" applyFont="1" applyAlignment="1" applyProtection="1">
      <alignment vertical="center"/>
      <protection hidden="1"/>
    </xf>
    <xf numFmtId="0" fontId="5" fillId="0" borderId="0" xfId="0" applyFont="1" applyProtection="1">
      <protection hidden="1"/>
    </xf>
    <xf numFmtId="2" fontId="5" fillId="0" borderId="0" xfId="0" applyNumberFormat="1" applyFont="1" applyProtection="1">
      <protection hidden="1"/>
    </xf>
    <xf numFmtId="0" fontId="15" fillId="0" borderId="0" xfId="0" applyFont="1" applyAlignment="1" applyProtection="1">
      <alignment vertical="center"/>
      <protection hidden="1"/>
    </xf>
    <xf numFmtId="2" fontId="7" fillId="0" borderId="0" xfId="0" applyNumberFormat="1" applyFont="1" applyProtection="1">
      <protection hidden="1"/>
    </xf>
    <xf numFmtId="0" fontId="7" fillId="0" borderId="39" xfId="0" applyFont="1" applyBorder="1" applyProtection="1">
      <protection hidden="1"/>
    </xf>
    <xf numFmtId="0" fontId="5" fillId="0" borderId="24" xfId="0" applyFont="1" applyBorder="1" applyProtection="1">
      <protection hidden="1"/>
    </xf>
    <xf numFmtId="168" fontId="6" fillId="0" borderId="41" xfId="0" applyNumberFormat="1" applyFont="1" applyBorder="1" applyAlignment="1" applyProtection="1">
      <alignment horizontal="right"/>
      <protection hidden="1"/>
    </xf>
    <xf numFmtId="173" fontId="6" fillId="0" borderId="43" xfId="0" applyNumberFormat="1" applyFont="1" applyBorder="1" applyAlignment="1" applyProtection="1">
      <alignment horizontal="right"/>
      <protection hidden="1"/>
    </xf>
    <xf numFmtId="0" fontId="0" fillId="0" borderId="0" xfId="0" applyFill="1" applyProtection="1">
      <protection hidden="1"/>
    </xf>
    <xf numFmtId="177" fontId="6" fillId="2" borderId="18" xfId="0" applyNumberFormat="1" applyFont="1" applyFill="1" applyBorder="1" applyAlignment="1" applyProtection="1">
      <alignment horizontal="center"/>
      <protection locked="0"/>
    </xf>
    <xf numFmtId="177" fontId="6" fillId="2" borderId="8" xfId="0" applyNumberFormat="1" applyFont="1" applyFill="1" applyBorder="1" applyAlignment="1" applyProtection="1">
      <alignment horizontal="center"/>
      <protection locked="0"/>
    </xf>
    <xf numFmtId="0" fontId="6" fillId="0" borderId="53" xfId="0" applyFont="1" applyBorder="1" applyAlignment="1" applyProtection="1">
      <alignment horizontal="right" vertical="center"/>
      <protection hidden="1"/>
    </xf>
    <xf numFmtId="166" fontId="6" fillId="2" borderId="23" xfId="0" applyNumberFormat="1" applyFont="1" applyFill="1" applyBorder="1" applyAlignment="1" applyProtection="1">
      <alignment horizontal="center"/>
      <protection locked="0"/>
    </xf>
    <xf numFmtId="166" fontId="6" fillId="2" borderId="22" xfId="0" applyNumberFormat="1" applyFont="1" applyFill="1" applyBorder="1" applyAlignment="1" applyProtection="1">
      <alignment horizontal="center"/>
      <protection locked="0"/>
    </xf>
    <xf numFmtId="166" fontId="5" fillId="2" borderId="9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right" vertical="center"/>
      <protection hidden="1"/>
    </xf>
    <xf numFmtId="0" fontId="14" fillId="0" borderId="2" xfId="0" applyFont="1" applyBorder="1" applyProtection="1">
      <protection hidden="1"/>
    </xf>
    <xf numFmtId="0" fontId="18" fillId="0" borderId="3" xfId="0" applyFont="1" applyBorder="1" applyAlignment="1" applyProtection="1">
      <alignment horizontal="right" vertical="center"/>
      <protection hidden="1"/>
    </xf>
    <xf numFmtId="0" fontId="18" fillId="0" borderId="0" xfId="0" applyFont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167" fontId="15" fillId="0" borderId="0" xfId="0" applyNumberFormat="1" applyFont="1" applyBorder="1" applyAlignment="1" applyProtection="1">
      <alignment horizontal="left" vertical="center"/>
      <protection hidden="1"/>
    </xf>
    <xf numFmtId="1" fontId="7" fillId="0" borderId="0" xfId="0" applyNumberFormat="1" applyFont="1" applyBorder="1" applyAlignment="1" applyProtection="1">
      <alignment horizontal="center" vertical="center"/>
      <protection hidden="1"/>
    </xf>
    <xf numFmtId="0" fontId="5" fillId="0" borderId="35" xfId="0" applyFont="1" applyBorder="1" applyAlignment="1" applyProtection="1">
      <alignment horizontal="right" vertical="center"/>
      <protection hidden="1"/>
    </xf>
    <xf numFmtId="0" fontId="5" fillId="0" borderId="38" xfId="0" applyFont="1" applyBorder="1" applyAlignment="1" applyProtection="1">
      <alignment horizontal="right" vertical="center"/>
      <protection hidden="1"/>
    </xf>
    <xf numFmtId="0" fontId="5" fillId="0" borderId="32" xfId="0" applyFont="1" applyBorder="1" applyAlignment="1" applyProtection="1">
      <alignment horizontal="right" vertical="center"/>
      <protection hidden="1"/>
    </xf>
    <xf numFmtId="0" fontId="5" fillId="0" borderId="38" xfId="0" applyFont="1" applyBorder="1" applyAlignment="1" applyProtection="1">
      <alignment vertical="center"/>
      <protection hidden="1"/>
    </xf>
    <xf numFmtId="0" fontId="7" fillId="0" borderId="32" xfId="0" applyFont="1" applyBorder="1" applyAlignment="1" applyProtection="1">
      <alignment vertical="center"/>
      <protection hidden="1"/>
    </xf>
    <xf numFmtId="176" fontId="5" fillId="0" borderId="32" xfId="0" applyNumberFormat="1" applyFont="1" applyBorder="1" applyAlignment="1" applyProtection="1">
      <alignment horizontal="left" vertical="center"/>
      <protection hidden="1"/>
    </xf>
    <xf numFmtId="0" fontId="7" fillId="0" borderId="36" xfId="0" applyFont="1" applyBorder="1" applyAlignment="1" applyProtection="1">
      <alignment vertical="center"/>
      <protection hidden="1"/>
    </xf>
    <xf numFmtId="0" fontId="7" fillId="0" borderId="30" xfId="0" applyFont="1" applyBorder="1" applyAlignment="1" applyProtection="1">
      <alignment vertical="center"/>
      <protection hidden="1"/>
    </xf>
    <xf numFmtId="0" fontId="7" fillId="0" borderId="33" xfId="0" applyFont="1" applyBorder="1" applyAlignment="1" applyProtection="1">
      <alignment vertical="center"/>
      <protection hidden="1"/>
    </xf>
    <xf numFmtId="0" fontId="5" fillId="0" borderId="15" xfId="0" applyFont="1" applyBorder="1" applyAlignment="1" applyProtection="1">
      <alignment horizontal="center"/>
      <protection hidden="1"/>
    </xf>
    <xf numFmtId="0" fontId="5" fillId="0" borderId="25" xfId="0" applyFont="1" applyBorder="1" applyAlignment="1" applyProtection="1">
      <alignment horizontal="center"/>
      <protection hidden="1"/>
    </xf>
    <xf numFmtId="0" fontId="7" fillId="0" borderId="0" xfId="0" applyNumberFormat="1" applyFont="1" applyProtection="1">
      <protection hidden="1"/>
    </xf>
    <xf numFmtId="173" fontId="6" fillId="0" borderId="50" xfId="0" applyNumberFormat="1" applyFont="1" applyBorder="1" applyProtection="1">
      <protection hidden="1"/>
    </xf>
    <xf numFmtId="173" fontId="5" fillId="2" borderId="4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vertical="center"/>
      <protection hidden="1"/>
    </xf>
    <xf numFmtId="0" fontId="5" fillId="0" borderId="54" xfId="0" applyFont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right" vertical="center"/>
      <protection hidden="1"/>
    </xf>
    <xf numFmtId="0" fontId="6" fillId="0" borderId="42" xfId="0" applyFont="1" applyBorder="1" applyAlignment="1" applyProtection="1">
      <alignment horizontal="right" vertical="center"/>
      <protection hidden="1"/>
    </xf>
    <xf numFmtId="0" fontId="6" fillId="0" borderId="45" xfId="0" applyFont="1" applyBorder="1" applyAlignment="1" applyProtection="1">
      <alignment horizontal="right" vertical="center"/>
      <protection hidden="1"/>
    </xf>
    <xf numFmtId="0" fontId="0" fillId="0" borderId="45" xfId="0" applyBorder="1" applyAlignment="1" applyProtection="1">
      <alignment horizontal="right" vertical="center"/>
      <protection hidden="1"/>
    </xf>
    <xf numFmtId="0" fontId="6" fillId="0" borderId="49" xfId="0" applyFont="1" applyBorder="1" applyAlignment="1" applyProtection="1">
      <alignment horizontal="right" vertic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168" fontId="8" fillId="0" borderId="0" xfId="0" applyNumberFormat="1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right" vertical="center"/>
      <protection hidden="1"/>
    </xf>
    <xf numFmtId="0" fontId="0" fillId="0" borderId="60" xfId="0" applyFill="1" applyBorder="1" applyAlignment="1" applyProtection="1">
      <alignment horizontal="right"/>
      <protection hidden="1"/>
    </xf>
    <xf numFmtId="0" fontId="5" fillId="0" borderId="67" xfId="0" applyFont="1" applyBorder="1" applyAlignment="1" applyProtection="1">
      <alignment horizontal="center"/>
      <protection hidden="1"/>
    </xf>
    <xf numFmtId="0" fontId="5" fillId="0" borderId="69" xfId="0" applyFont="1" applyBorder="1" applyAlignment="1" applyProtection="1">
      <alignment horizontal="center"/>
      <protection hidden="1"/>
    </xf>
    <xf numFmtId="0" fontId="0" fillId="0" borderId="55" xfId="0" applyBorder="1" applyAlignment="1" applyProtection="1">
      <alignment horizontal="center" vertical="center"/>
      <protection hidden="1"/>
    </xf>
    <xf numFmtId="0" fontId="0" fillId="0" borderId="56" xfId="0" applyBorder="1" applyAlignment="1" applyProtection="1">
      <alignment horizontal="center" vertical="center"/>
      <protection hidden="1"/>
    </xf>
    <xf numFmtId="0" fontId="0" fillId="0" borderId="57" xfId="0" applyBorder="1" applyAlignment="1" applyProtection="1">
      <alignment horizontal="center" vertical="center"/>
      <protection hidden="1"/>
    </xf>
    <xf numFmtId="0" fontId="28" fillId="0" borderId="0" xfId="0" applyFont="1" applyProtection="1">
      <protection hidden="1"/>
    </xf>
    <xf numFmtId="0" fontId="29" fillId="0" borderId="0" xfId="0" applyFont="1" applyProtection="1">
      <protection hidden="1"/>
    </xf>
    <xf numFmtId="0" fontId="33" fillId="0" borderId="62" xfId="0" applyFont="1" applyFill="1" applyBorder="1" applyAlignment="1" applyProtection="1">
      <alignment horizontal="right"/>
      <protection hidden="1"/>
    </xf>
    <xf numFmtId="172" fontId="5" fillId="0" borderId="37" xfId="0" applyNumberFormat="1" applyFont="1" applyBorder="1" applyAlignment="1" applyProtection="1">
      <alignment horizontal="right" vertical="center"/>
      <protection hidden="1"/>
    </xf>
    <xf numFmtId="176" fontId="5" fillId="0" borderId="31" xfId="0" applyNumberFormat="1" applyFont="1" applyBorder="1" applyAlignment="1" applyProtection="1">
      <alignment horizontal="right" vertical="center"/>
      <protection hidden="1"/>
    </xf>
    <xf numFmtId="177" fontId="5" fillId="0" borderId="31" xfId="0" applyNumberFormat="1" applyFont="1" applyBorder="1" applyAlignment="1" applyProtection="1">
      <alignment horizontal="right" vertical="center"/>
      <protection hidden="1"/>
    </xf>
    <xf numFmtId="2" fontId="5" fillId="0" borderId="31" xfId="0" applyNumberFormat="1" applyFont="1" applyBorder="1" applyAlignment="1" applyProtection="1">
      <alignment horizontal="right" vertical="center"/>
      <protection hidden="1"/>
    </xf>
    <xf numFmtId="173" fontId="5" fillId="0" borderId="31" xfId="0" applyNumberFormat="1" applyFont="1" applyBorder="1" applyAlignment="1" applyProtection="1">
      <alignment horizontal="right" vertical="center"/>
      <protection hidden="1"/>
    </xf>
    <xf numFmtId="0" fontId="5" fillId="0" borderId="32" xfId="0" applyFont="1" applyBorder="1" applyAlignment="1" applyProtection="1">
      <alignment horizontal="left" vertical="center"/>
      <protection hidden="1"/>
    </xf>
    <xf numFmtId="0" fontId="5" fillId="0" borderId="35" xfId="0" applyFont="1" applyBorder="1" applyAlignment="1" applyProtection="1">
      <alignment horizontal="left" vertical="center"/>
      <protection hidden="1"/>
    </xf>
    <xf numFmtId="0" fontId="14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6" fillId="0" borderId="0" xfId="0" applyFont="1"/>
    <xf numFmtId="0" fontId="6" fillId="0" borderId="73" xfId="0" applyFont="1" applyBorder="1" applyAlignment="1" applyProtection="1">
      <alignment horizontal="center"/>
      <protection hidden="1"/>
    </xf>
    <xf numFmtId="0" fontId="6" fillId="0" borderId="76" xfId="0" applyFont="1" applyBorder="1" applyAlignment="1" applyProtection="1">
      <alignment horizontal="center"/>
      <protection hidden="1"/>
    </xf>
    <xf numFmtId="165" fontId="6" fillId="0" borderId="87" xfId="0" applyNumberFormat="1" applyFont="1" applyBorder="1" applyAlignment="1" applyProtection="1">
      <alignment horizontal="center"/>
      <protection hidden="1"/>
    </xf>
    <xf numFmtId="165" fontId="6" fillId="0" borderId="88" xfId="0" applyNumberFormat="1" applyFont="1" applyBorder="1" applyAlignment="1" applyProtection="1">
      <alignment horizontal="center"/>
      <protection hidden="1"/>
    </xf>
    <xf numFmtId="0" fontId="15" fillId="0" borderId="0" xfId="0" applyFont="1" applyAlignment="1" applyProtection="1">
      <alignment vertical="top"/>
      <protection hidden="1"/>
    </xf>
    <xf numFmtId="0" fontId="33" fillId="0" borderId="60" xfId="0" applyFont="1" applyFill="1" applyBorder="1" applyAlignment="1" applyProtection="1">
      <alignment horizontal="right"/>
      <protection hidden="1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 vertical="center"/>
      <protection hidden="1"/>
    </xf>
    <xf numFmtId="0" fontId="23" fillId="0" borderId="70" xfId="0" applyFont="1" applyFill="1" applyBorder="1" applyAlignment="1" applyProtection="1">
      <alignment horizontal="right"/>
      <protection hidden="1"/>
    </xf>
    <xf numFmtId="0" fontId="21" fillId="0" borderId="93" xfId="0" applyFont="1" applyBorder="1" applyAlignment="1" applyProtection="1">
      <alignment horizontal="center"/>
      <protection hidden="1"/>
    </xf>
    <xf numFmtId="0" fontId="27" fillId="0" borderId="0" xfId="0" applyFont="1" applyBorder="1" applyAlignment="1" applyProtection="1">
      <protection hidden="1"/>
    </xf>
    <xf numFmtId="179" fontId="21" fillId="0" borderId="34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top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173" fontId="5" fillId="0" borderId="98" xfId="0" applyNumberFormat="1" applyFont="1" applyBorder="1" applyAlignment="1" applyProtection="1">
      <alignment horizontal="center" vertical="center"/>
      <protection hidden="1"/>
    </xf>
    <xf numFmtId="0" fontId="5" fillId="0" borderId="98" xfId="0" applyFont="1" applyBorder="1" applyAlignment="1" applyProtection="1">
      <alignment vertical="center"/>
      <protection hidden="1"/>
    </xf>
    <xf numFmtId="0" fontId="5" fillId="0" borderId="99" xfId="0" applyFont="1" applyBorder="1" applyAlignment="1" applyProtection="1">
      <alignment vertical="center"/>
      <protection hidden="1"/>
    </xf>
    <xf numFmtId="166" fontId="5" fillId="0" borderId="0" xfId="0" applyNumberFormat="1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0" fontId="5" fillId="0" borderId="101" xfId="0" applyFont="1" applyBorder="1" applyAlignment="1" applyProtection="1">
      <alignment horizontal="center" vertical="center"/>
      <protection hidden="1"/>
    </xf>
    <xf numFmtId="166" fontId="5" fillId="0" borderId="0" xfId="0" applyNumberFormat="1" applyFont="1" applyBorder="1" applyAlignment="1" applyProtection="1">
      <alignment horizontal="left" vertical="center"/>
      <protection hidden="1"/>
    </xf>
    <xf numFmtId="174" fontId="5" fillId="0" borderId="101" xfId="0" applyNumberFormat="1" applyFont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hidden="1"/>
    </xf>
    <xf numFmtId="174" fontId="5" fillId="0" borderId="101" xfId="0" applyNumberFormat="1" applyFont="1" applyFill="1" applyBorder="1" applyAlignment="1" applyProtection="1">
      <alignment horizontal="center" vertical="center"/>
      <protection hidden="1"/>
    </xf>
    <xf numFmtId="0" fontId="5" fillId="0" borderId="100" xfId="0" applyFont="1" applyBorder="1" applyProtection="1">
      <protection hidden="1"/>
    </xf>
    <xf numFmtId="0" fontId="5" fillId="0" borderId="0" xfId="0" applyFont="1" applyBorder="1" applyProtection="1">
      <protection hidden="1"/>
    </xf>
    <xf numFmtId="0" fontId="5" fillId="0" borderId="0" xfId="0" applyFont="1" applyBorder="1" applyAlignment="1" applyProtection="1">
      <alignment horizontal="right"/>
      <protection hidden="1"/>
    </xf>
    <xf numFmtId="172" fontId="5" fillId="0" borderId="0" xfId="0" applyNumberFormat="1" applyFont="1" applyBorder="1" applyAlignment="1" applyProtection="1">
      <alignment horizontal="center" vertical="center"/>
      <protection hidden="1"/>
    </xf>
    <xf numFmtId="0" fontId="5" fillId="0" borderId="101" xfId="0" applyFont="1" applyBorder="1" applyProtection="1">
      <protection hidden="1"/>
    </xf>
    <xf numFmtId="0" fontId="0" fillId="0" borderId="100" xfId="0" applyBorder="1" applyProtection="1"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0" fontId="0" fillId="0" borderId="101" xfId="0" applyBorder="1" applyProtection="1">
      <protection hidden="1"/>
    </xf>
    <xf numFmtId="0" fontId="0" fillId="0" borderId="102" xfId="0" applyBorder="1" applyProtection="1">
      <protection hidden="1"/>
    </xf>
    <xf numFmtId="0" fontId="0" fillId="0" borderId="103" xfId="0" applyBorder="1" applyProtection="1">
      <protection hidden="1"/>
    </xf>
    <xf numFmtId="0" fontId="0" fillId="0" borderId="103" xfId="0" applyBorder="1" applyAlignment="1" applyProtection="1">
      <alignment horizontal="right"/>
      <protection hidden="1"/>
    </xf>
    <xf numFmtId="0" fontId="0" fillId="0" borderId="103" xfId="0" applyBorder="1" applyAlignment="1" applyProtection="1">
      <alignment horizontal="center"/>
      <protection hidden="1"/>
    </xf>
    <xf numFmtId="0" fontId="0" fillId="0" borderId="104" xfId="0" applyBorder="1" applyProtection="1">
      <protection hidden="1"/>
    </xf>
    <xf numFmtId="0" fontId="38" fillId="0" borderId="105" xfId="0" applyFont="1" applyFill="1" applyBorder="1" applyAlignment="1" applyProtection="1">
      <alignment horizontal="center"/>
      <protection hidden="1"/>
    </xf>
    <xf numFmtId="0" fontId="39" fillId="0" borderId="106" xfId="0" applyFont="1" applyFill="1" applyBorder="1" applyAlignment="1" applyProtection="1">
      <alignment horizontal="center"/>
      <protection hidden="1"/>
    </xf>
    <xf numFmtId="0" fontId="40" fillId="0" borderId="106" xfId="0" applyFont="1" applyFill="1" applyBorder="1" applyAlignment="1" applyProtection="1">
      <alignment horizontal="center"/>
      <protection hidden="1"/>
    </xf>
    <xf numFmtId="0" fontId="38" fillId="0" borderId="106" xfId="0" applyFont="1" applyFill="1" applyBorder="1" applyAlignment="1" applyProtection="1">
      <alignment horizontal="center"/>
      <protection hidden="1"/>
    </xf>
    <xf numFmtId="181" fontId="5" fillId="0" borderId="108" xfId="0" applyNumberFormat="1" applyFont="1" applyFill="1" applyBorder="1" applyAlignment="1" applyProtection="1">
      <alignment horizontal="center"/>
      <protection hidden="1"/>
    </xf>
    <xf numFmtId="2" fontId="0" fillId="0" borderId="109" xfId="0" applyNumberFormat="1" applyFont="1" applyBorder="1" applyAlignment="1" applyProtection="1">
      <alignment horizontal="center"/>
      <protection hidden="1"/>
    </xf>
    <xf numFmtId="2" fontId="42" fillId="0" borderId="109" xfId="0" applyNumberFormat="1" applyFont="1" applyFill="1" applyBorder="1" applyAlignment="1" applyProtection="1">
      <alignment horizontal="center"/>
      <protection hidden="1"/>
    </xf>
    <xf numFmtId="2" fontId="36" fillId="0" borderId="109" xfId="0" applyNumberFormat="1" applyFont="1" applyFill="1" applyBorder="1" applyAlignment="1" applyProtection="1">
      <alignment horizontal="center"/>
      <protection hidden="1"/>
    </xf>
    <xf numFmtId="2" fontId="43" fillId="3" borderId="109" xfId="0" applyNumberFormat="1" applyFont="1" applyFill="1" applyBorder="1" applyAlignment="1" applyProtection="1">
      <alignment horizontal="center"/>
      <protection hidden="1"/>
    </xf>
    <xf numFmtId="0" fontId="0" fillId="0" borderId="110" xfId="0" applyFill="1" applyBorder="1" applyProtection="1">
      <protection hidden="1"/>
    </xf>
    <xf numFmtId="181" fontId="6" fillId="0" borderId="111" xfId="0" applyNumberFormat="1" applyFont="1" applyFill="1" applyBorder="1" applyAlignment="1" applyProtection="1">
      <alignment horizontal="center"/>
      <protection hidden="1"/>
    </xf>
    <xf numFmtId="2" fontId="6" fillId="0" borderId="112" xfId="0" applyNumberFormat="1" applyFont="1" applyBorder="1" applyAlignment="1" applyProtection="1">
      <alignment horizontal="center"/>
      <protection hidden="1"/>
    </xf>
    <xf numFmtId="2" fontId="44" fillId="0" borderId="112" xfId="0" applyNumberFormat="1" applyFont="1" applyFill="1" applyBorder="1" applyAlignment="1" applyProtection="1">
      <alignment horizontal="center"/>
      <protection hidden="1"/>
    </xf>
    <xf numFmtId="2" fontId="45" fillId="0" borderId="112" xfId="0" applyNumberFormat="1" applyFont="1" applyFill="1" applyBorder="1" applyAlignment="1" applyProtection="1">
      <alignment horizontal="center"/>
      <protection hidden="1"/>
    </xf>
    <xf numFmtId="2" fontId="46" fillId="3" borderId="112" xfId="0" applyNumberFormat="1" applyFont="1" applyFill="1" applyBorder="1" applyAlignment="1" applyProtection="1">
      <alignment horizontal="center"/>
      <protection hidden="1"/>
    </xf>
    <xf numFmtId="0" fontId="0" fillId="0" borderId="113" xfId="0" applyFill="1" applyBorder="1" applyProtection="1">
      <protection hidden="1"/>
    </xf>
    <xf numFmtId="181" fontId="16" fillId="2" borderId="111" xfId="0" applyNumberFormat="1" applyFont="1" applyFill="1" applyBorder="1" applyAlignment="1" applyProtection="1">
      <alignment horizontal="center"/>
      <protection hidden="1"/>
    </xf>
    <xf numFmtId="2" fontId="6" fillId="2" borderId="112" xfId="0" applyNumberFormat="1" applyFont="1" applyFill="1" applyBorder="1" applyAlignment="1" applyProtection="1">
      <alignment horizontal="center"/>
      <protection hidden="1"/>
    </xf>
    <xf numFmtId="2" fontId="44" fillId="2" borderId="112" xfId="0" applyNumberFormat="1" applyFont="1" applyFill="1" applyBorder="1" applyAlignment="1" applyProtection="1">
      <alignment horizontal="center"/>
      <protection hidden="1"/>
    </xf>
    <xf numFmtId="2" fontId="45" fillId="2" borderId="112" xfId="0" applyNumberFormat="1" applyFont="1" applyFill="1" applyBorder="1" applyAlignment="1" applyProtection="1">
      <alignment horizontal="center"/>
      <protection hidden="1"/>
    </xf>
    <xf numFmtId="2" fontId="46" fillId="2" borderId="112" xfId="0" applyNumberFormat="1" applyFont="1" applyFill="1" applyBorder="1" applyAlignment="1" applyProtection="1">
      <alignment horizontal="center"/>
      <protection hidden="1"/>
    </xf>
    <xf numFmtId="0" fontId="0" fillId="0" borderId="114" xfId="0" applyFill="1" applyBorder="1" applyProtection="1">
      <protection hidden="1"/>
    </xf>
    <xf numFmtId="181" fontId="6" fillId="0" borderId="108" xfId="0" applyNumberFormat="1" applyFont="1" applyFill="1" applyBorder="1" applyAlignment="1" applyProtection="1">
      <alignment horizontal="center"/>
      <protection hidden="1"/>
    </xf>
    <xf numFmtId="182" fontId="6" fillId="0" borderId="109" xfId="0" applyNumberFormat="1" applyFont="1" applyBorder="1" applyAlignment="1" applyProtection="1">
      <alignment horizontal="center"/>
      <protection hidden="1"/>
    </xf>
    <xf numFmtId="0" fontId="6" fillId="0" borderId="109" xfId="0" applyFont="1" applyBorder="1" applyAlignment="1" applyProtection="1">
      <alignment horizontal="center"/>
      <protection hidden="1"/>
    </xf>
    <xf numFmtId="2" fontId="6" fillId="0" borderId="109" xfId="0" applyNumberFormat="1" applyFont="1" applyBorder="1" applyAlignment="1" applyProtection="1">
      <alignment horizontal="center"/>
      <protection hidden="1"/>
    </xf>
    <xf numFmtId="0" fontId="44" fillId="0" borderId="109" xfId="0" applyFont="1" applyFill="1" applyBorder="1" applyAlignment="1" applyProtection="1">
      <alignment horizontal="center"/>
      <protection hidden="1"/>
    </xf>
    <xf numFmtId="0" fontId="45" fillId="0" borderId="109" xfId="0" applyFont="1" applyFill="1" applyBorder="1" applyAlignment="1" applyProtection="1">
      <alignment horizontal="center"/>
      <protection hidden="1"/>
    </xf>
    <xf numFmtId="0" fontId="0" fillId="3" borderId="109" xfId="0" applyFill="1" applyBorder="1" applyProtection="1">
      <protection hidden="1"/>
    </xf>
    <xf numFmtId="2" fontId="47" fillId="0" borderId="110" xfId="0" applyNumberFormat="1" applyFont="1" applyFill="1" applyBorder="1" applyAlignment="1" applyProtection="1">
      <alignment horizontal="center"/>
      <protection hidden="1"/>
    </xf>
    <xf numFmtId="181" fontId="6" fillId="0" borderId="115" xfId="0" applyNumberFormat="1" applyFont="1" applyFill="1" applyBorder="1" applyAlignment="1" applyProtection="1">
      <alignment horizontal="center"/>
      <protection hidden="1"/>
    </xf>
    <xf numFmtId="0" fontId="6" fillId="0" borderId="116" xfId="0" applyFont="1" applyBorder="1" applyAlignment="1" applyProtection="1">
      <alignment horizontal="center"/>
      <protection hidden="1"/>
    </xf>
    <xf numFmtId="2" fontId="6" fillId="0" borderId="116" xfId="0" applyNumberFormat="1" applyFont="1" applyBorder="1" applyAlignment="1" applyProtection="1">
      <alignment horizontal="center"/>
      <protection hidden="1"/>
    </xf>
    <xf numFmtId="0" fontId="44" fillId="0" borderId="116" xfId="0" applyFont="1" applyFill="1" applyBorder="1" applyAlignment="1" applyProtection="1">
      <alignment horizontal="center"/>
      <protection hidden="1"/>
    </xf>
    <xf numFmtId="0" fontId="45" fillId="0" borderId="116" xfId="0" applyFont="1" applyFill="1" applyBorder="1" applyAlignment="1" applyProtection="1">
      <alignment horizontal="center"/>
      <protection hidden="1"/>
    </xf>
    <xf numFmtId="0" fontId="0" fillId="3" borderId="116" xfId="0" applyFill="1" applyBorder="1" applyProtection="1">
      <protection hidden="1"/>
    </xf>
    <xf numFmtId="2" fontId="47" fillId="0" borderId="117" xfId="0" applyNumberFormat="1" applyFont="1" applyFill="1" applyBorder="1" applyAlignment="1" applyProtection="1">
      <alignment horizontal="center"/>
      <protection hidden="1"/>
    </xf>
    <xf numFmtId="0" fontId="22" fillId="0" borderId="106" xfId="0" applyFont="1" applyFill="1" applyBorder="1" applyAlignment="1" applyProtection="1">
      <alignment horizontal="center" vertical="center"/>
      <protection hidden="1"/>
    </xf>
    <xf numFmtId="0" fontId="41" fillId="0" borderId="107" xfId="0" applyFont="1" applyFill="1" applyBorder="1" applyAlignment="1" applyProtection="1">
      <alignment horizontal="center" vertical="center"/>
      <protection hidden="1"/>
    </xf>
    <xf numFmtId="165" fontId="6" fillId="0" borderId="84" xfId="0" applyNumberFormat="1" applyFont="1" applyBorder="1" applyAlignment="1" applyProtection="1">
      <alignment horizontal="right"/>
      <protection hidden="1"/>
    </xf>
    <xf numFmtId="165" fontId="6" fillId="0" borderId="85" xfId="0" applyNumberFormat="1" applyFont="1" applyBorder="1" applyAlignment="1" applyProtection="1">
      <alignment horizontal="right"/>
      <protection hidden="1"/>
    </xf>
    <xf numFmtId="0" fontId="0" fillId="0" borderId="77" xfId="0" applyFont="1" applyBorder="1" applyAlignment="1">
      <alignment horizontal="right"/>
    </xf>
    <xf numFmtId="164" fontId="6" fillId="0" borderId="78" xfId="0" applyNumberFormat="1" applyFont="1" applyBorder="1" applyAlignment="1">
      <alignment horizontal="right"/>
    </xf>
    <xf numFmtId="164" fontId="6" fillId="0" borderId="79" xfId="0" applyNumberFormat="1" applyFont="1" applyBorder="1" applyAlignment="1">
      <alignment horizontal="right"/>
    </xf>
    <xf numFmtId="0" fontId="10" fillId="0" borderId="77" xfId="0" applyFont="1" applyBorder="1" applyAlignment="1">
      <alignment horizontal="right"/>
    </xf>
    <xf numFmtId="0" fontId="10" fillId="0" borderId="89" xfId="0" applyFont="1" applyBorder="1" applyAlignment="1">
      <alignment horizontal="right"/>
    </xf>
    <xf numFmtId="164" fontId="6" fillId="0" borderId="90" xfId="0" applyNumberFormat="1" applyFont="1" applyBorder="1" applyAlignment="1">
      <alignment horizontal="right"/>
    </xf>
    <xf numFmtId="164" fontId="6" fillId="0" borderId="91" xfId="0" applyNumberFormat="1" applyFont="1" applyBorder="1" applyAlignment="1">
      <alignment horizontal="right"/>
    </xf>
    <xf numFmtId="0" fontId="0" fillId="0" borderId="80" xfId="0" applyFont="1" applyBorder="1" applyAlignment="1">
      <alignment horizontal="right"/>
    </xf>
    <xf numFmtId="164" fontId="6" fillId="0" borderId="81" xfId="0" applyNumberFormat="1" applyFont="1" applyBorder="1" applyAlignment="1">
      <alignment horizontal="right"/>
    </xf>
    <xf numFmtId="164" fontId="6" fillId="0" borderId="82" xfId="0" applyNumberFormat="1" applyFont="1" applyBorder="1" applyAlignment="1">
      <alignment horizontal="right"/>
    </xf>
    <xf numFmtId="0" fontId="0" fillId="0" borderId="83" xfId="0" applyFont="1" applyBorder="1" applyAlignment="1">
      <alignment horizontal="right"/>
    </xf>
    <xf numFmtId="0" fontId="10" fillId="0" borderId="80" xfId="0" applyFont="1" applyBorder="1" applyAlignment="1">
      <alignment horizontal="right"/>
    </xf>
    <xf numFmtId="164" fontId="16" fillId="0" borderId="81" xfId="0" applyNumberFormat="1" applyFont="1" applyBorder="1" applyAlignment="1">
      <alignment horizontal="right"/>
    </xf>
    <xf numFmtId="164" fontId="16" fillId="0" borderId="82" xfId="0" applyNumberFormat="1" applyFont="1" applyBorder="1" applyAlignment="1">
      <alignment horizontal="right"/>
    </xf>
    <xf numFmtId="0" fontId="6" fillId="0" borderId="75" xfId="0" applyFont="1" applyBorder="1" applyAlignment="1">
      <alignment horizontal="right" vertical="center"/>
    </xf>
    <xf numFmtId="0" fontId="6" fillId="0" borderId="73" xfId="0" applyFont="1" applyBorder="1" applyAlignment="1">
      <alignment horizontal="right" vertical="center"/>
    </xf>
    <xf numFmtId="0" fontId="6" fillId="0" borderId="73" xfId="0" applyFont="1" applyBorder="1" applyAlignment="1" applyProtection="1">
      <alignment horizontal="right" vertical="center"/>
      <protection hidden="1"/>
    </xf>
    <xf numFmtId="0" fontId="0" fillId="0" borderId="83" xfId="0" applyFont="1" applyBorder="1" applyAlignment="1" applyProtection="1">
      <alignment horizontal="right"/>
      <protection hidden="1"/>
    </xf>
    <xf numFmtId="0" fontId="6" fillId="0" borderId="86" xfId="0" applyFont="1" applyBorder="1" applyAlignment="1" applyProtection="1">
      <alignment horizontal="center"/>
      <protection hidden="1"/>
    </xf>
    <xf numFmtId="0" fontId="6" fillId="0" borderId="74" xfId="0" applyFont="1" applyBorder="1" applyAlignment="1">
      <alignment horizontal="right" vertical="center"/>
    </xf>
    <xf numFmtId="0" fontId="6" fillId="0" borderId="11" xfId="0" applyFont="1" applyBorder="1" applyAlignment="1" applyProtection="1">
      <alignment horizontal="right"/>
      <protection hidden="1"/>
    </xf>
    <xf numFmtId="177" fontId="6" fillId="0" borderId="12" xfId="0" applyNumberFormat="1" applyFont="1" applyBorder="1" applyAlignment="1" applyProtection="1">
      <alignment horizontal="right"/>
      <protection hidden="1"/>
    </xf>
    <xf numFmtId="0" fontId="6" fillId="0" borderId="16" xfId="0" applyFont="1" applyBorder="1" applyAlignment="1" applyProtection="1">
      <alignment horizontal="right"/>
      <protection hidden="1"/>
    </xf>
    <xf numFmtId="177" fontId="6" fillId="0" borderId="17" xfId="0" applyNumberFormat="1" applyFont="1" applyBorder="1" applyAlignment="1" applyProtection="1">
      <alignment horizontal="right"/>
      <protection hidden="1"/>
    </xf>
    <xf numFmtId="0" fontId="6" fillId="0" borderId="13" xfId="0" applyFont="1" applyBorder="1" applyAlignment="1" applyProtection="1">
      <alignment horizontal="right"/>
      <protection hidden="1"/>
    </xf>
    <xf numFmtId="177" fontId="6" fillId="0" borderId="14" xfId="0" applyNumberFormat="1" applyFont="1" applyBorder="1" applyAlignment="1" applyProtection="1">
      <alignment horizontal="right"/>
      <protection hidden="1"/>
    </xf>
    <xf numFmtId="178" fontId="6" fillId="0" borderId="85" xfId="0" applyNumberFormat="1" applyFont="1" applyBorder="1" applyAlignment="1">
      <alignment horizontal="right" vertical="center"/>
    </xf>
    <xf numFmtId="178" fontId="6" fillId="0" borderId="81" xfId="0" applyNumberFormat="1" applyFont="1" applyBorder="1" applyAlignment="1">
      <alignment horizontal="right" vertical="center"/>
    </xf>
    <xf numFmtId="178" fontId="6" fillId="0" borderId="82" xfId="0" applyNumberFormat="1" applyFont="1" applyBorder="1" applyAlignment="1">
      <alignment horizontal="right" vertical="center"/>
    </xf>
    <xf numFmtId="0" fontId="3" fillId="0" borderId="0" xfId="0" applyFont="1" applyProtection="1">
      <protection hidden="1"/>
    </xf>
    <xf numFmtId="0" fontId="15" fillId="0" borderId="0" xfId="0" applyFont="1" applyFill="1" applyProtection="1">
      <protection hidden="1"/>
    </xf>
    <xf numFmtId="176" fontId="6" fillId="0" borderId="44" xfId="0" applyNumberFormat="1" applyFont="1" applyBorder="1" applyAlignment="1" applyProtection="1">
      <alignment horizontal="center"/>
      <protection hidden="1"/>
    </xf>
    <xf numFmtId="176" fontId="6" fillId="0" borderId="48" xfId="0" applyNumberFormat="1" applyFont="1" applyBorder="1" applyAlignment="1" applyProtection="1">
      <alignment horizontal="center"/>
      <protection hidden="1"/>
    </xf>
    <xf numFmtId="176" fontId="0" fillId="0" borderId="48" xfId="0" applyNumberFormat="1" applyBorder="1" applyAlignment="1" applyProtection="1">
      <alignment horizontal="center"/>
      <protection hidden="1"/>
    </xf>
    <xf numFmtId="176" fontId="6" fillId="0" borderId="52" xfId="0" applyNumberFormat="1" applyFont="1" applyBorder="1" applyAlignment="1" applyProtection="1">
      <alignment horizontal="center"/>
      <protection hidden="1"/>
    </xf>
    <xf numFmtId="176" fontId="6" fillId="0" borderId="43" xfId="0" applyNumberFormat="1" applyFont="1" applyBorder="1" applyAlignment="1" applyProtection="1">
      <alignment horizontal="center"/>
      <protection hidden="1"/>
    </xf>
    <xf numFmtId="176" fontId="6" fillId="0" borderId="46" xfId="0" applyNumberFormat="1" applyFont="1" applyBorder="1" applyAlignment="1" applyProtection="1">
      <alignment horizontal="center"/>
      <protection hidden="1"/>
    </xf>
    <xf numFmtId="176" fontId="6" fillId="0" borderId="50" xfId="0" applyNumberFormat="1" applyFont="1" applyBorder="1" applyAlignment="1" applyProtection="1">
      <alignment horizontal="center"/>
      <protection hidden="1"/>
    </xf>
    <xf numFmtId="0" fontId="52" fillId="0" borderId="0" xfId="0" applyFont="1" applyAlignment="1" applyProtection="1">
      <alignment vertical="center"/>
      <protection hidden="1"/>
    </xf>
    <xf numFmtId="164" fontId="16" fillId="0" borderId="85" xfId="0" applyNumberFormat="1" applyFont="1" applyBorder="1" applyAlignment="1" applyProtection="1">
      <alignment horizontal="right"/>
      <protection hidden="1"/>
    </xf>
    <xf numFmtId="0" fontId="0" fillId="0" borderId="118" xfId="0" applyFont="1" applyBorder="1" applyAlignment="1">
      <alignment horizontal="right"/>
    </xf>
    <xf numFmtId="164" fontId="6" fillId="0" borderId="119" xfId="0" applyNumberFormat="1" applyFont="1" applyBorder="1" applyAlignment="1">
      <alignment horizontal="right"/>
    </xf>
    <xf numFmtId="0" fontId="0" fillId="0" borderId="0" xfId="0" applyFont="1" applyProtection="1">
      <protection hidden="1"/>
    </xf>
    <xf numFmtId="173" fontId="5" fillId="2" borderId="120" xfId="0" applyNumberFormat="1" applyFont="1" applyFill="1" applyBorder="1" applyAlignment="1" applyProtection="1">
      <alignment horizontal="center" vertical="center"/>
      <protection locked="0"/>
    </xf>
    <xf numFmtId="173" fontId="0" fillId="0" borderId="0" xfId="0" applyNumberFormat="1" applyProtection="1">
      <protection hidden="1"/>
    </xf>
    <xf numFmtId="0" fontId="0" fillId="0" borderId="3" xfId="0" applyFont="1" applyFill="1" applyBorder="1" applyAlignment="1" applyProtection="1">
      <alignment horizontal="left" vertical="center"/>
      <protection hidden="1"/>
    </xf>
    <xf numFmtId="166" fontId="5" fillId="2" borderId="41" xfId="0" applyNumberFormat="1" applyFont="1" applyFill="1" applyBorder="1" applyAlignment="1" applyProtection="1">
      <alignment horizontal="right" vertical="center"/>
      <protection locked="0"/>
    </xf>
    <xf numFmtId="0" fontId="10" fillId="2" borderId="122" xfId="0" applyFont="1" applyFill="1" applyBorder="1" applyAlignment="1" applyProtection="1">
      <alignment horizontal="center"/>
      <protection hidden="1"/>
    </xf>
    <xf numFmtId="0" fontId="54" fillId="0" borderId="9" xfId="0" applyFont="1" applyBorder="1" applyAlignment="1" applyProtection="1">
      <alignment horizontal="center"/>
      <protection hidden="1"/>
    </xf>
    <xf numFmtId="0" fontId="54" fillId="0" borderId="123" xfId="0" applyFont="1" applyBorder="1" applyAlignment="1" applyProtection="1">
      <alignment horizontal="center"/>
      <protection hidden="1"/>
    </xf>
    <xf numFmtId="0" fontId="5" fillId="0" borderId="121" xfId="0" applyFont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4" fillId="0" borderId="9" xfId="0" applyFont="1" applyFill="1" applyBorder="1" applyAlignment="1" applyProtection="1">
      <alignment horizontal="center" vertical="center"/>
      <protection hidden="1"/>
    </xf>
    <xf numFmtId="0" fontId="54" fillId="0" borderId="123" xfId="0" applyFont="1" applyFill="1" applyBorder="1" applyAlignment="1" applyProtection="1">
      <alignment horizontal="center" vertical="center"/>
      <protection hidden="1"/>
    </xf>
    <xf numFmtId="0" fontId="7" fillId="0" borderId="124" xfId="0" applyFont="1" applyBorder="1" applyAlignment="1" applyProtection="1">
      <alignment horizontal="center" vertical="center"/>
      <protection hidden="1"/>
    </xf>
    <xf numFmtId="0" fontId="5" fillId="0" borderId="124" xfId="0" applyFont="1" applyBorder="1" applyAlignment="1" applyProtection="1">
      <alignment horizontal="center" vertical="center"/>
      <protection hidden="1"/>
    </xf>
    <xf numFmtId="0" fontId="5" fillId="0" borderId="23" xfId="0" applyFont="1" applyBorder="1" applyAlignment="1" applyProtection="1">
      <alignment horizontal="center" vertical="center"/>
      <protection hidden="1"/>
    </xf>
    <xf numFmtId="0" fontId="54" fillId="0" borderId="6" xfId="0" applyFont="1" applyFill="1" applyBorder="1" applyAlignment="1" applyProtection="1">
      <alignment horizontal="center" vertical="center"/>
      <protection hidden="1"/>
    </xf>
    <xf numFmtId="0" fontId="5" fillId="0" borderId="18" xfId="0" applyFont="1" applyFill="1" applyBorder="1" applyAlignment="1" applyProtection="1">
      <alignment horizontal="center" vertical="center"/>
      <protection hidden="1"/>
    </xf>
    <xf numFmtId="178" fontId="6" fillId="0" borderId="125" xfId="0" applyNumberFormat="1" applyFont="1" applyBorder="1" applyAlignment="1" applyProtection="1">
      <alignment horizontal="center" vertical="center"/>
      <protection hidden="1"/>
    </xf>
    <xf numFmtId="178" fontId="6" fillId="0" borderId="125" xfId="0" applyNumberFormat="1" applyFont="1" applyFill="1" applyBorder="1" applyAlignment="1" applyProtection="1">
      <alignment horizontal="center" vertical="center"/>
      <protection hidden="1"/>
    </xf>
    <xf numFmtId="178" fontId="6" fillId="0" borderId="126" xfId="0" applyNumberFormat="1" applyFont="1" applyBorder="1" applyAlignment="1" applyProtection="1">
      <alignment horizontal="center" vertical="center"/>
      <protection hidden="1"/>
    </xf>
    <xf numFmtId="2" fontId="44" fillId="0" borderId="127" xfId="0" applyNumberFormat="1" applyFont="1" applyFill="1" applyBorder="1" applyAlignment="1" applyProtection="1">
      <alignment horizontal="center"/>
      <protection hidden="1"/>
    </xf>
    <xf numFmtId="2" fontId="44" fillId="0" borderId="128" xfId="0" applyNumberFormat="1" applyFont="1" applyFill="1" applyBorder="1" applyAlignment="1" applyProtection="1">
      <alignment horizontal="center"/>
      <protection hidden="1"/>
    </xf>
    <xf numFmtId="2" fontId="45" fillId="0" borderId="128" xfId="0" applyNumberFormat="1" applyFont="1" applyFill="1" applyBorder="1" applyAlignment="1" applyProtection="1">
      <alignment horizontal="center"/>
      <protection hidden="1"/>
    </xf>
    <xf numFmtId="2" fontId="6" fillId="0" borderId="129" xfId="0" applyNumberFormat="1" applyFont="1" applyBorder="1" applyAlignment="1" applyProtection="1">
      <alignment horizontal="center" vertical="center"/>
      <protection hidden="1"/>
    </xf>
    <xf numFmtId="2" fontId="6" fillId="0" borderId="130" xfId="0" applyNumberFormat="1" applyFont="1" applyBorder="1" applyAlignment="1" applyProtection="1">
      <alignment horizontal="center" vertical="center"/>
      <protection hidden="1"/>
    </xf>
    <xf numFmtId="164" fontId="15" fillId="0" borderId="0" xfId="0" applyNumberFormat="1" applyFont="1" applyAlignment="1" applyProtection="1">
      <alignment horizontal="left"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164" fontId="0" fillId="0" borderId="129" xfId="0" applyNumberFormat="1" applyBorder="1" applyAlignment="1" applyProtection="1">
      <alignment horizontal="center" vertical="center"/>
      <protection hidden="1"/>
    </xf>
    <xf numFmtId="164" fontId="0" fillId="0" borderId="19" xfId="0" applyNumberFormat="1" applyBorder="1" applyAlignment="1" applyProtection="1">
      <alignment horizontal="center" vertical="center"/>
      <protection hidden="1"/>
    </xf>
    <xf numFmtId="0" fontId="0" fillId="0" borderId="19" xfId="0" applyBorder="1" applyProtection="1">
      <protection hidden="1"/>
    </xf>
    <xf numFmtId="164" fontId="0" fillId="0" borderId="19" xfId="0" applyNumberFormat="1" applyBorder="1" applyAlignment="1" applyProtection="1">
      <alignment horizontal="right" vertical="center"/>
      <protection hidden="1"/>
    </xf>
    <xf numFmtId="178" fontId="7" fillId="0" borderId="23" xfId="0" applyNumberFormat="1" applyFont="1" applyBorder="1" applyAlignment="1" applyProtection="1">
      <alignment horizontal="center"/>
      <protection hidden="1"/>
    </xf>
    <xf numFmtId="164" fontId="0" fillId="2" borderId="131" xfId="0" applyNumberFormat="1" applyFill="1" applyBorder="1" applyAlignment="1" applyProtection="1">
      <alignment horizontal="center" vertical="center"/>
      <protection hidden="1"/>
    </xf>
    <xf numFmtId="164" fontId="0" fillId="2" borderId="132" xfId="0" applyNumberFormat="1" applyFill="1" applyBorder="1" applyAlignment="1" applyProtection="1">
      <alignment horizontal="center" vertical="center"/>
      <protection hidden="1"/>
    </xf>
    <xf numFmtId="0" fontId="0" fillId="2" borderId="132" xfId="0" applyFill="1" applyBorder="1" applyProtection="1">
      <protection hidden="1"/>
    </xf>
    <xf numFmtId="164" fontId="0" fillId="2" borderId="132" xfId="0" applyNumberFormat="1" applyFill="1" applyBorder="1" applyAlignment="1" applyProtection="1">
      <alignment horizontal="right" vertical="center"/>
      <protection hidden="1"/>
    </xf>
    <xf numFmtId="178" fontId="7" fillId="2" borderId="126" xfId="0" applyNumberFormat="1" applyFont="1" applyFill="1" applyBorder="1" applyAlignment="1" applyProtection="1">
      <alignment horizontal="center"/>
      <protection hidden="1"/>
    </xf>
    <xf numFmtId="164" fontId="0" fillId="0" borderId="131" xfId="0" applyNumberFormat="1" applyBorder="1" applyAlignment="1" applyProtection="1">
      <alignment horizontal="center" vertical="center"/>
      <protection hidden="1"/>
    </xf>
    <xf numFmtId="164" fontId="0" fillId="0" borderId="132" xfId="0" applyNumberFormat="1" applyBorder="1" applyAlignment="1" applyProtection="1">
      <alignment horizontal="center" vertical="center"/>
      <protection hidden="1"/>
    </xf>
    <xf numFmtId="0" fontId="0" fillId="0" borderId="132" xfId="0" applyBorder="1" applyProtection="1">
      <protection hidden="1"/>
    </xf>
    <xf numFmtId="164" fontId="0" fillId="0" borderId="132" xfId="0" applyNumberFormat="1" applyBorder="1" applyAlignment="1" applyProtection="1">
      <alignment horizontal="right" vertical="center"/>
      <protection hidden="1"/>
    </xf>
    <xf numFmtId="178" fontId="7" fillId="0" borderId="126" xfId="0" applyNumberFormat="1" applyFont="1" applyBorder="1" applyAlignment="1" applyProtection="1">
      <alignment horizontal="center"/>
      <protection hidden="1"/>
    </xf>
    <xf numFmtId="0" fontId="0" fillId="0" borderId="131" xfId="0" applyBorder="1" applyProtection="1">
      <protection hidden="1"/>
    </xf>
    <xf numFmtId="0" fontId="0" fillId="0" borderId="132" xfId="0" applyBorder="1" applyAlignment="1" applyProtection="1">
      <alignment horizontal="right"/>
      <protection hidden="1"/>
    </xf>
    <xf numFmtId="0" fontId="0" fillId="2" borderId="131" xfId="0" applyFill="1" applyBorder="1" applyProtection="1">
      <protection hidden="1"/>
    </xf>
    <xf numFmtId="0" fontId="0" fillId="2" borderId="132" xfId="0" applyFill="1" applyBorder="1" applyAlignment="1" applyProtection="1">
      <alignment horizontal="right"/>
      <protection hidden="1"/>
    </xf>
    <xf numFmtId="178" fontId="7" fillId="0" borderId="126" xfId="0" applyNumberFormat="1" applyFont="1" applyBorder="1" applyAlignment="1" applyProtection="1">
      <alignment horizontal="center" vertical="center"/>
      <protection hidden="1"/>
    </xf>
    <xf numFmtId="178" fontId="7" fillId="2" borderId="126" xfId="0" applyNumberFormat="1" applyFont="1" applyFill="1" applyBorder="1" applyAlignment="1" applyProtection="1">
      <alignment horizontal="center" vertical="center"/>
      <protection hidden="1"/>
    </xf>
    <xf numFmtId="164" fontId="0" fillId="0" borderId="131" xfId="0" applyNumberFormat="1" applyBorder="1" applyAlignment="1" applyProtection="1">
      <alignment vertical="center"/>
      <protection hidden="1"/>
    </xf>
    <xf numFmtId="164" fontId="0" fillId="0" borderId="132" xfId="0" applyNumberFormat="1" applyBorder="1" applyAlignment="1" applyProtection="1">
      <alignment vertical="center"/>
      <protection hidden="1"/>
    </xf>
    <xf numFmtId="0" fontId="7" fillId="0" borderId="126" xfId="0" applyFont="1" applyBorder="1" applyAlignment="1" applyProtection="1">
      <alignment horizontal="center" vertical="center"/>
      <protection hidden="1"/>
    </xf>
    <xf numFmtId="164" fontId="0" fillId="2" borderId="131" xfId="0" applyNumberFormat="1" applyFill="1" applyBorder="1" applyAlignment="1" applyProtection="1">
      <alignment vertical="center"/>
      <protection hidden="1"/>
    </xf>
    <xf numFmtId="164" fontId="0" fillId="2" borderId="132" xfId="0" applyNumberFormat="1" applyFill="1" applyBorder="1" applyAlignment="1" applyProtection="1">
      <alignment vertical="center"/>
      <protection hidden="1"/>
    </xf>
    <xf numFmtId="1" fontId="7" fillId="2" borderId="126" xfId="0" applyNumberFormat="1" applyFont="1" applyFill="1" applyBorder="1" applyAlignment="1" applyProtection="1">
      <alignment horizontal="center" vertical="center"/>
      <protection hidden="1"/>
    </xf>
    <xf numFmtId="1" fontId="7" fillId="0" borderId="126" xfId="0" applyNumberFormat="1" applyFont="1" applyBorder="1" applyAlignment="1" applyProtection="1">
      <alignment horizontal="center"/>
      <protection hidden="1"/>
    </xf>
    <xf numFmtId="164" fontId="0" fillId="2" borderId="130" xfId="0" applyNumberFormat="1" applyFill="1" applyBorder="1" applyAlignment="1" applyProtection="1">
      <alignment vertical="center"/>
      <protection hidden="1"/>
    </xf>
    <xf numFmtId="164" fontId="0" fillId="2" borderId="21" xfId="0" applyNumberFormat="1" applyFill="1" applyBorder="1" applyAlignment="1" applyProtection="1">
      <alignment vertical="center"/>
      <protection hidden="1"/>
    </xf>
    <xf numFmtId="0" fontId="0" fillId="2" borderId="21" xfId="0" applyFill="1" applyBorder="1" applyProtection="1">
      <protection hidden="1"/>
    </xf>
    <xf numFmtId="164" fontId="0" fillId="2" borderId="21" xfId="0" applyNumberFormat="1" applyFill="1" applyBorder="1" applyAlignment="1" applyProtection="1">
      <alignment horizontal="right" vertical="center"/>
      <protection hidden="1"/>
    </xf>
    <xf numFmtId="178" fontId="7" fillId="2" borderId="22" xfId="0" applyNumberFormat="1" applyFont="1" applyFill="1" applyBorder="1" applyAlignment="1" applyProtection="1">
      <alignment horizontal="center"/>
      <protection hidden="1"/>
    </xf>
    <xf numFmtId="2" fontId="6" fillId="0" borderId="133" xfId="0" applyNumberFormat="1" applyFont="1" applyBorder="1" applyAlignment="1" applyProtection="1">
      <alignment horizontal="center"/>
      <protection hidden="1"/>
    </xf>
    <xf numFmtId="2" fontId="6" fillId="0" borderId="53" xfId="0" applyNumberFormat="1" applyFont="1" applyBorder="1" applyAlignment="1" applyProtection="1">
      <alignment horizontal="center" vertical="center"/>
      <protection hidden="1"/>
    </xf>
    <xf numFmtId="178" fontId="6" fillId="0" borderId="135" xfId="0" applyNumberFormat="1" applyFont="1" applyBorder="1" applyAlignment="1" applyProtection="1">
      <alignment horizontal="center" vertical="center"/>
      <protection hidden="1"/>
    </xf>
    <xf numFmtId="178" fontId="6" fillId="0" borderId="135" xfId="0" applyNumberFormat="1" applyFont="1" applyFill="1" applyBorder="1" applyAlignment="1" applyProtection="1">
      <alignment horizontal="center" vertical="center"/>
      <protection hidden="1"/>
    </xf>
    <xf numFmtId="178" fontId="6" fillId="0" borderId="136" xfId="0" applyNumberFormat="1" applyFont="1" applyBorder="1" applyAlignment="1" applyProtection="1">
      <alignment horizontal="center" vertical="center"/>
      <protection hidden="1"/>
    </xf>
    <xf numFmtId="2" fontId="44" fillId="0" borderId="137" xfId="0" applyNumberFormat="1" applyFont="1" applyFill="1" applyBorder="1" applyAlignment="1" applyProtection="1">
      <alignment horizontal="center"/>
      <protection hidden="1"/>
    </xf>
    <xf numFmtId="2" fontId="44" fillId="0" borderId="138" xfId="0" applyNumberFormat="1" applyFont="1" applyFill="1" applyBorder="1" applyAlignment="1" applyProtection="1">
      <alignment horizontal="center"/>
      <protection hidden="1"/>
    </xf>
    <xf numFmtId="2" fontId="45" fillId="0" borderId="138" xfId="0" applyNumberFormat="1" applyFont="1" applyFill="1" applyBorder="1" applyAlignment="1" applyProtection="1">
      <alignment horizontal="center"/>
      <protection hidden="1"/>
    </xf>
    <xf numFmtId="0" fontId="0" fillId="0" borderId="134" xfId="0" applyBorder="1"/>
    <xf numFmtId="164" fontId="6" fillId="0" borderId="139" xfId="0" applyNumberFormat="1" applyFont="1" applyBorder="1" applyAlignment="1">
      <alignment horizontal="right"/>
    </xf>
    <xf numFmtId="0" fontId="54" fillId="0" borderId="18" xfId="0" applyFont="1" applyFill="1" applyBorder="1" applyAlignment="1" applyProtection="1">
      <alignment horizontal="center" vertical="center"/>
      <protection hidden="1"/>
    </xf>
    <xf numFmtId="180" fontId="18" fillId="0" borderId="0" xfId="0" applyNumberFormat="1" applyFont="1" applyBorder="1" applyAlignment="1" applyProtection="1">
      <alignment horizontal="center" vertical="center"/>
      <protection hidden="1"/>
    </xf>
    <xf numFmtId="173" fontId="6" fillId="0" borderId="46" xfId="0" applyNumberFormat="1" applyFont="1" applyBorder="1" applyAlignment="1" applyProtection="1">
      <alignment horizontal="right"/>
      <protection hidden="1"/>
    </xf>
    <xf numFmtId="0" fontId="30" fillId="0" borderId="2" xfId="0" applyFont="1" applyBorder="1" applyAlignment="1" applyProtection="1">
      <alignment horizontal="right" vertical="center"/>
      <protection hidden="1"/>
    </xf>
    <xf numFmtId="178" fontId="6" fillId="2" borderId="140" xfId="0" applyNumberFormat="1" applyFont="1" applyFill="1" applyBorder="1" applyAlignment="1" applyProtection="1">
      <alignment horizontal="center" vertical="center"/>
      <protection hidden="1"/>
    </xf>
    <xf numFmtId="178" fontId="6" fillId="0" borderId="141" xfId="0" applyNumberFormat="1" applyFont="1" applyBorder="1" applyAlignment="1" applyProtection="1">
      <alignment horizontal="center" vertical="center"/>
      <protection hidden="1"/>
    </xf>
    <xf numFmtId="182" fontId="6" fillId="0" borderId="141" xfId="0" applyNumberFormat="1" applyFont="1" applyFill="1" applyBorder="1" applyAlignment="1" applyProtection="1">
      <alignment horizontal="center" vertical="center"/>
      <protection hidden="1"/>
    </xf>
    <xf numFmtId="178" fontId="6" fillId="0" borderId="141" xfId="0" applyNumberFormat="1" applyFont="1" applyFill="1" applyBorder="1" applyAlignment="1" applyProtection="1">
      <alignment horizontal="center" vertical="center"/>
      <protection hidden="1"/>
    </xf>
    <xf numFmtId="2" fontId="44" fillId="0" borderId="141" xfId="0" applyNumberFormat="1" applyFont="1" applyFill="1" applyBorder="1" applyAlignment="1" applyProtection="1">
      <alignment horizontal="center"/>
      <protection hidden="1"/>
    </xf>
    <xf numFmtId="2" fontId="45" fillId="0" borderId="141" xfId="0" applyNumberFormat="1" applyFont="1" applyFill="1" applyBorder="1" applyAlignment="1" applyProtection="1">
      <alignment horizontal="center"/>
      <protection hidden="1"/>
    </xf>
    <xf numFmtId="2" fontId="45" fillId="0" borderId="142" xfId="0" applyNumberFormat="1" applyFont="1" applyFill="1" applyBorder="1" applyAlignment="1" applyProtection="1">
      <alignment horizontal="center"/>
      <protection hidden="1"/>
    </xf>
    <xf numFmtId="2" fontId="45" fillId="0" borderId="126" xfId="0" applyNumberFormat="1" applyFont="1" applyFill="1" applyBorder="1" applyAlignment="1" applyProtection="1">
      <alignment horizontal="center"/>
      <protection hidden="1"/>
    </xf>
    <xf numFmtId="2" fontId="45" fillId="0" borderId="143" xfId="0" applyNumberFormat="1" applyFont="1" applyFill="1" applyBorder="1" applyAlignment="1" applyProtection="1">
      <alignment horizontal="center"/>
      <protection hidden="1"/>
    </xf>
    <xf numFmtId="2" fontId="45" fillId="0" borderId="144" xfId="0" applyNumberFormat="1" applyFont="1" applyFill="1" applyBorder="1" applyAlignment="1" applyProtection="1">
      <alignment horizontal="center"/>
      <protection hidden="1"/>
    </xf>
    <xf numFmtId="0" fontId="54" fillId="0" borderId="145" xfId="0" applyFont="1" applyFill="1" applyBorder="1" applyAlignment="1" applyProtection="1">
      <alignment horizontal="center" vertical="center"/>
      <protection hidden="1"/>
    </xf>
    <xf numFmtId="0" fontId="54" fillId="0" borderId="146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182" fontId="6" fillId="4" borderId="18" xfId="0" applyNumberFormat="1" applyFont="1" applyFill="1" applyBorder="1" applyAlignment="1" applyProtection="1">
      <alignment horizontal="center" vertical="center"/>
      <protection hidden="1"/>
    </xf>
    <xf numFmtId="178" fontId="6" fillId="2" borderId="127" xfId="0" applyNumberFormat="1" applyFont="1" applyFill="1" applyBorder="1" applyAlignment="1" applyProtection="1">
      <alignment horizontal="center" vertical="center"/>
      <protection hidden="1"/>
    </xf>
    <xf numFmtId="178" fontId="6" fillId="0" borderId="128" xfId="0" applyNumberFormat="1" applyFont="1" applyBorder="1" applyAlignment="1" applyProtection="1">
      <alignment horizontal="center" vertical="center"/>
      <protection hidden="1"/>
    </xf>
    <xf numFmtId="182" fontId="6" fillId="0" borderId="126" xfId="0" applyNumberFormat="1" applyFont="1" applyFill="1" applyBorder="1" applyAlignment="1" applyProtection="1">
      <alignment horizontal="center" vertical="center"/>
      <protection hidden="1"/>
    </xf>
    <xf numFmtId="178" fontId="6" fillId="2" borderId="137" xfId="0" applyNumberFormat="1" applyFont="1" applyFill="1" applyBorder="1" applyAlignment="1" applyProtection="1">
      <alignment horizontal="center" vertical="center"/>
      <protection hidden="1"/>
    </xf>
    <xf numFmtId="178" fontId="6" fillId="0" borderId="138" xfId="0" applyNumberFormat="1" applyFont="1" applyBorder="1" applyAlignment="1" applyProtection="1">
      <alignment horizontal="center" vertical="center"/>
      <protection hidden="1"/>
    </xf>
    <xf numFmtId="182" fontId="6" fillId="0" borderId="136" xfId="0" applyNumberFormat="1" applyFont="1" applyFill="1" applyBorder="1" applyAlignment="1" applyProtection="1">
      <alignment horizontal="center" vertical="center"/>
      <protection hidden="1"/>
    </xf>
    <xf numFmtId="182" fontId="0" fillId="0" borderId="127" xfId="0" applyNumberFormat="1" applyBorder="1" applyAlignment="1">
      <alignment horizontal="center"/>
    </xf>
    <xf numFmtId="182" fontId="0" fillId="0" borderId="128" xfId="0" applyNumberFormat="1" applyBorder="1" applyAlignment="1">
      <alignment horizontal="center"/>
    </xf>
    <xf numFmtId="182" fontId="0" fillId="0" borderId="126" xfId="0" applyNumberFormat="1" applyBorder="1" applyAlignment="1">
      <alignment horizontal="center"/>
    </xf>
    <xf numFmtId="182" fontId="0" fillId="0" borderId="7" xfId="0" applyNumberFormat="1" applyBorder="1" applyAlignment="1">
      <alignment horizontal="center"/>
    </xf>
    <xf numFmtId="182" fontId="0" fillId="0" borderId="8" xfId="0" applyNumberFormat="1" applyBorder="1" applyAlignment="1">
      <alignment horizontal="center"/>
    </xf>
    <xf numFmtId="182" fontId="0" fillId="0" borderId="138" xfId="0" applyNumberFormat="1" applyBorder="1" applyAlignment="1">
      <alignment horizontal="center"/>
    </xf>
    <xf numFmtId="182" fontId="0" fillId="0" borderId="136" xfId="0" applyNumberFormat="1" applyBorder="1" applyAlignment="1">
      <alignment horizontal="center"/>
    </xf>
    <xf numFmtId="2" fontId="6" fillId="5" borderId="141" xfId="0" applyNumberFormat="1" applyFont="1" applyFill="1" applyBorder="1" applyAlignment="1" applyProtection="1">
      <alignment horizontal="center"/>
      <protection hidden="1"/>
    </xf>
    <xf numFmtId="0" fontId="6" fillId="0" borderId="147" xfId="0" applyFont="1" applyBorder="1" applyAlignment="1" applyProtection="1">
      <protection hidden="1"/>
    </xf>
    <xf numFmtId="183" fontId="6" fillId="0" borderId="148" xfId="0" applyNumberFormat="1" applyFont="1" applyBorder="1" applyAlignment="1"/>
    <xf numFmtId="183" fontId="6" fillId="0" borderId="149" xfId="0" applyNumberFormat="1" applyFont="1" applyBorder="1" applyAlignment="1"/>
    <xf numFmtId="0" fontId="6" fillId="0" borderId="149" xfId="0" applyFont="1" applyBorder="1" applyAlignment="1" applyProtection="1">
      <alignment vertical="center"/>
      <protection hidden="1"/>
    </xf>
    <xf numFmtId="184" fontId="6" fillId="0" borderId="149" xfId="0" applyNumberFormat="1" applyFont="1" applyBorder="1" applyAlignment="1"/>
    <xf numFmtId="0" fontId="6" fillId="0" borderId="149" xfId="0" applyFont="1" applyBorder="1" applyAlignment="1" applyProtection="1">
      <protection hidden="1"/>
    </xf>
    <xf numFmtId="185" fontId="16" fillId="0" borderId="150" xfId="0" applyNumberFormat="1" applyFont="1" applyBorder="1" applyAlignment="1">
      <alignment horizontal="center" vertical="center"/>
    </xf>
    <xf numFmtId="0" fontId="56" fillId="0" borderId="0" xfId="0" applyFont="1" applyAlignment="1" applyProtection="1">
      <alignment vertical="top"/>
      <protection hidden="1"/>
    </xf>
    <xf numFmtId="20" fontId="8" fillId="0" borderId="4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170" fontId="6" fillId="0" borderId="45" xfId="0" applyNumberFormat="1" applyFont="1" applyFill="1" applyBorder="1" applyAlignment="1" applyProtection="1">
      <alignment horizontal="right" vertical="center"/>
      <protection hidden="1"/>
    </xf>
    <xf numFmtId="170" fontId="6" fillId="0" borderId="71" xfId="0" applyNumberFormat="1" applyFont="1" applyFill="1" applyBorder="1" applyAlignment="1" applyProtection="1">
      <alignment horizontal="right" vertical="center"/>
      <protection hidden="1"/>
    </xf>
    <xf numFmtId="170" fontId="6" fillId="0" borderId="63" xfId="0" applyNumberFormat="1" applyFont="1" applyFill="1" applyBorder="1" applyAlignment="1" applyProtection="1">
      <alignment horizontal="right" vertical="center"/>
      <protection hidden="1"/>
    </xf>
    <xf numFmtId="0" fontId="23" fillId="0" borderId="58" xfId="0" applyFont="1" applyFill="1" applyBorder="1" applyAlignment="1" applyProtection="1">
      <alignment horizontal="right"/>
      <protection hidden="1"/>
    </xf>
    <xf numFmtId="170" fontId="6" fillId="0" borderId="59" xfId="0" applyNumberFormat="1" applyFont="1" applyFill="1" applyBorder="1" applyAlignment="1" applyProtection="1">
      <alignment horizontal="right" vertical="center"/>
      <protection hidden="1"/>
    </xf>
    <xf numFmtId="0" fontId="24" fillId="0" borderId="70" xfId="0" applyFont="1" applyFill="1" applyBorder="1" applyAlignment="1" applyProtection="1">
      <alignment horizontal="right"/>
      <protection hidden="1"/>
    </xf>
    <xf numFmtId="0" fontId="0" fillId="0" borderId="151" xfId="0" applyBorder="1" applyProtection="1">
      <protection hidden="1"/>
    </xf>
    <xf numFmtId="0" fontId="0" fillId="0" borderId="0" xfId="0" applyAlignment="1"/>
    <xf numFmtId="180" fontId="0" fillId="2" borderId="41" xfId="0" applyNumberFormat="1" applyFill="1" applyBorder="1" applyAlignment="1" applyProtection="1">
      <alignment horizontal="center" vertical="center"/>
      <protection locked="0"/>
    </xf>
    <xf numFmtId="0" fontId="0" fillId="0" borderId="0" xfId="0" applyFont="1"/>
    <xf numFmtId="0" fontId="23" fillId="0" borderId="60" xfId="0" applyFont="1" applyFill="1" applyBorder="1" applyAlignment="1" applyProtection="1">
      <alignment horizontal="right"/>
      <protection hidden="1"/>
    </xf>
    <xf numFmtId="0" fontId="0" fillId="0" borderId="58" xfId="0" applyFill="1" applyBorder="1" applyAlignment="1" applyProtection="1">
      <alignment horizontal="right"/>
      <protection hidden="1"/>
    </xf>
    <xf numFmtId="0" fontId="31" fillId="0" borderId="60" xfId="0" applyFont="1" applyFill="1" applyBorder="1" applyAlignment="1" applyProtection="1">
      <alignment horizontal="right"/>
      <protection hidden="1"/>
    </xf>
    <xf numFmtId="0" fontId="7" fillId="0" borderId="0" xfId="0" applyFont="1" applyFill="1" applyProtection="1">
      <protection hidden="1"/>
    </xf>
    <xf numFmtId="0" fontId="53" fillId="0" borderId="0" xfId="0" applyFont="1" applyFill="1"/>
    <xf numFmtId="178" fontId="7" fillId="0" borderId="0" xfId="0" applyNumberFormat="1" applyFont="1" applyFill="1" applyProtection="1">
      <protection hidden="1"/>
    </xf>
    <xf numFmtId="164" fontId="7" fillId="0" borderId="0" xfId="0" applyNumberFormat="1" applyFont="1" applyFill="1" applyAlignment="1" applyProtection="1">
      <alignment horizontal="center"/>
      <protection hidden="1"/>
    </xf>
    <xf numFmtId="0" fontId="0" fillId="0" borderId="58" xfId="0" applyFill="1" applyBorder="1" applyAlignment="1" applyProtection="1">
      <alignment horizontal="right" vertical="center"/>
      <protection hidden="1"/>
    </xf>
    <xf numFmtId="178" fontId="0" fillId="0" borderId="59" xfId="0" applyNumberFormat="1" applyFill="1" applyBorder="1" applyAlignment="1" applyProtection="1">
      <alignment horizontal="right" vertical="center"/>
      <protection hidden="1"/>
    </xf>
    <xf numFmtId="0" fontId="0" fillId="0" borderId="62" xfId="0" applyFill="1" applyBorder="1" applyAlignment="1" applyProtection="1">
      <alignment horizontal="right" vertical="center"/>
      <protection hidden="1"/>
    </xf>
    <xf numFmtId="178" fontId="0" fillId="0" borderId="63" xfId="0" applyNumberFormat="1" applyFill="1" applyBorder="1" applyAlignment="1" applyProtection="1">
      <alignment horizontal="right" vertical="center"/>
      <protection hidden="1"/>
    </xf>
    <xf numFmtId="0" fontId="27" fillId="0" borderId="0" xfId="0" applyFont="1" applyBorder="1" applyAlignment="1" applyProtection="1">
      <alignment vertical="center"/>
      <protection hidden="1"/>
    </xf>
    <xf numFmtId="0" fontId="58" fillId="0" borderId="0" xfId="0" applyFont="1" applyAlignment="1">
      <alignment vertical="center"/>
    </xf>
    <xf numFmtId="164" fontId="58" fillId="0" borderId="0" xfId="0" applyNumberFormat="1" applyFont="1" applyAlignment="1" applyProtection="1">
      <alignment vertical="center"/>
      <protection hidden="1"/>
    </xf>
    <xf numFmtId="173" fontId="59" fillId="0" borderId="1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right" vertical="center"/>
      <protection hidden="1"/>
    </xf>
    <xf numFmtId="170" fontId="21" fillId="0" borderId="3" xfId="0" applyNumberFormat="1" applyFont="1" applyBorder="1" applyAlignment="1" applyProtection="1">
      <alignment horizontal="left" vertical="center"/>
      <protection hidden="1"/>
    </xf>
    <xf numFmtId="175" fontId="21" fillId="0" borderId="2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center" vertical="center"/>
      <protection hidden="1"/>
    </xf>
    <xf numFmtId="170" fontId="60" fillId="0" borderId="3" xfId="0" applyNumberFormat="1" applyFont="1" applyBorder="1" applyAlignment="1" applyProtection="1">
      <alignment horizontal="left" vertical="center"/>
      <protection hidden="1"/>
    </xf>
    <xf numFmtId="0" fontId="30" fillId="0" borderId="2" xfId="0" applyFont="1" applyBorder="1" applyAlignment="1" applyProtection="1">
      <alignment horizontal="right" vertical="center"/>
      <protection hidden="1"/>
    </xf>
    <xf numFmtId="0" fontId="5" fillId="0" borderId="26" xfId="0" applyFont="1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hidden="1"/>
    </xf>
    <xf numFmtId="0" fontId="5" fillId="0" borderId="153" xfId="0" applyFont="1" applyFill="1" applyBorder="1" applyAlignment="1" applyProtection="1">
      <alignment horizontal="center" vertical="center"/>
      <protection hidden="1"/>
    </xf>
    <xf numFmtId="0" fontId="21" fillId="0" borderId="154" xfId="0" applyFont="1" applyBorder="1" applyAlignment="1" applyProtection="1">
      <alignment horizontal="center"/>
      <protection hidden="1"/>
    </xf>
    <xf numFmtId="0" fontId="0" fillId="0" borderId="155" xfId="0" applyBorder="1" applyAlignment="1" applyProtection="1">
      <alignment horizontal="center" vertical="center"/>
      <protection hidden="1"/>
    </xf>
    <xf numFmtId="171" fontId="13" fillId="0" borderId="156" xfId="0" applyNumberFormat="1" applyFont="1" applyFill="1" applyBorder="1" applyAlignment="1" applyProtection="1">
      <alignment horizontal="right" vertical="center"/>
      <protection hidden="1"/>
    </xf>
    <xf numFmtId="171" fontId="13" fillId="0" borderId="47" xfId="0" applyNumberFormat="1" applyFont="1" applyFill="1" applyBorder="1" applyAlignment="1" applyProtection="1">
      <alignment horizontal="right" vertical="center"/>
      <protection hidden="1"/>
    </xf>
    <xf numFmtId="171" fontId="6" fillId="0" borderId="47" xfId="0" applyNumberFormat="1" applyFont="1" applyFill="1" applyBorder="1" applyAlignment="1" applyProtection="1">
      <alignment horizontal="right" vertical="center"/>
      <protection hidden="1"/>
    </xf>
    <xf numFmtId="171" fontId="6" fillId="0" borderId="157" xfId="0" applyNumberFormat="1" applyFont="1" applyFill="1" applyBorder="1" applyAlignment="1" applyProtection="1">
      <alignment horizontal="right" vertical="center"/>
      <protection hidden="1"/>
    </xf>
    <xf numFmtId="171" fontId="13" fillId="0" borderId="157" xfId="0" applyNumberFormat="1" applyFont="1" applyFill="1" applyBorder="1" applyAlignment="1" applyProtection="1">
      <alignment horizontal="right" vertical="center"/>
      <protection hidden="1"/>
    </xf>
    <xf numFmtId="171" fontId="6" fillId="0" borderId="156" xfId="0" applyNumberFormat="1" applyFont="1" applyFill="1" applyBorder="1" applyAlignment="1" applyProtection="1">
      <alignment horizontal="right" vertical="center"/>
      <protection hidden="1"/>
    </xf>
    <xf numFmtId="171" fontId="13" fillId="0" borderId="158" xfId="0" applyNumberFormat="1" applyFont="1" applyFill="1" applyBorder="1" applyAlignment="1" applyProtection="1">
      <alignment horizontal="right" vertical="center"/>
      <protection hidden="1"/>
    </xf>
    <xf numFmtId="171" fontId="25" fillId="0" borderId="156" xfId="0" applyNumberFormat="1" applyFont="1" applyFill="1" applyBorder="1" applyAlignment="1" applyProtection="1">
      <alignment horizontal="right" vertical="center"/>
      <protection hidden="1"/>
    </xf>
    <xf numFmtId="171" fontId="25" fillId="0" borderId="158" xfId="0" applyNumberFormat="1" applyFont="1" applyFill="1" applyBorder="1" applyAlignment="1" applyProtection="1">
      <alignment horizontal="right" vertical="center"/>
      <protection hidden="1"/>
    </xf>
    <xf numFmtId="0" fontId="5" fillId="0" borderId="92" xfId="0" applyFont="1" applyBorder="1" applyAlignment="1" applyProtection="1">
      <alignment horizontal="center" vertical="center"/>
      <protection hidden="1"/>
    </xf>
    <xf numFmtId="171" fontId="13" fillId="0" borderId="26" xfId="0" applyNumberFormat="1" applyFont="1" applyBorder="1" applyAlignment="1" applyProtection="1">
      <alignment horizontal="center" vertical="center"/>
      <protection hidden="1"/>
    </xf>
    <xf numFmtId="171" fontId="13" fillId="0" borderId="61" xfId="0" applyNumberFormat="1" applyFont="1" applyBorder="1" applyAlignment="1" applyProtection="1">
      <alignment horizontal="center" vertical="center"/>
      <protection hidden="1"/>
    </xf>
    <xf numFmtId="171" fontId="6" fillId="0" borderId="61" xfId="0" applyNumberFormat="1" applyFont="1" applyBorder="1" applyAlignment="1" applyProtection="1">
      <alignment horizontal="center" vertical="center"/>
      <protection hidden="1"/>
    </xf>
    <xf numFmtId="171" fontId="6" fillId="0" borderId="72" xfId="0" applyNumberFormat="1" applyFont="1" applyBorder="1" applyAlignment="1" applyProtection="1">
      <alignment horizontal="center" vertical="center"/>
      <protection hidden="1"/>
    </xf>
    <xf numFmtId="171" fontId="13" fillId="0" borderId="72" xfId="0" applyNumberFormat="1" applyFont="1" applyBorder="1" applyAlignment="1" applyProtection="1">
      <alignment horizontal="center" vertical="center"/>
      <protection hidden="1"/>
    </xf>
    <xf numFmtId="171" fontId="6" fillId="0" borderId="26" xfId="0" applyNumberFormat="1" applyFont="1" applyBorder="1" applyAlignment="1" applyProtection="1">
      <alignment horizontal="center" vertical="center"/>
      <protection hidden="1"/>
    </xf>
    <xf numFmtId="171" fontId="13" fillId="0" borderId="27" xfId="0" applyNumberFormat="1" applyFont="1" applyBorder="1" applyAlignment="1" applyProtection="1">
      <alignment horizontal="center" vertical="center"/>
      <protection hidden="1"/>
    </xf>
    <xf numFmtId="0" fontId="32" fillId="0" borderId="61" xfId="0" applyFont="1" applyBorder="1" applyAlignment="1" applyProtection="1">
      <alignment horizontal="center"/>
      <protection hidden="1"/>
    </xf>
    <xf numFmtId="173" fontId="6" fillId="0" borderId="64" xfId="0" applyNumberFormat="1" applyFont="1" applyBorder="1" applyAlignment="1" applyProtection="1">
      <alignment horizontal="right"/>
      <protection hidden="1"/>
    </xf>
    <xf numFmtId="173" fontId="6" fillId="0" borderId="65" xfId="0" applyNumberFormat="1" applyFont="1" applyBorder="1" applyAlignment="1" applyProtection="1">
      <alignment horizontal="right"/>
      <protection hidden="1"/>
    </xf>
    <xf numFmtId="0" fontId="6" fillId="0" borderId="20" xfId="0" applyFont="1" applyBorder="1" applyAlignment="1" applyProtection="1">
      <alignment horizontal="right"/>
      <protection hidden="1"/>
    </xf>
    <xf numFmtId="0" fontId="6" fillId="0" borderId="19" xfId="0" applyFont="1" applyBorder="1" applyAlignment="1" applyProtection="1">
      <alignment horizontal="right"/>
      <protection hidden="1"/>
    </xf>
    <xf numFmtId="0" fontId="6" fillId="0" borderId="28" xfId="0" applyFont="1" applyBorder="1" applyAlignment="1" applyProtection="1">
      <alignment horizontal="right"/>
      <protection hidden="1"/>
    </xf>
    <xf numFmtId="0" fontId="5" fillId="0" borderId="40" xfId="0" applyFont="1" applyBorder="1" applyAlignment="1" applyProtection="1">
      <alignment horizontal="center" vertical="center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right"/>
      <protection hidden="1"/>
    </xf>
    <xf numFmtId="0" fontId="6" fillId="0" borderId="21" xfId="0" applyFont="1" applyBorder="1" applyAlignment="1" applyProtection="1">
      <alignment horizontal="right"/>
      <protection hidden="1"/>
    </xf>
    <xf numFmtId="0" fontId="6" fillId="0" borderId="29" xfId="0" applyFont="1" applyBorder="1" applyAlignment="1" applyProtection="1">
      <alignment horizontal="right"/>
      <protection hidden="1"/>
    </xf>
    <xf numFmtId="0" fontId="18" fillId="0" borderId="2" xfId="0" applyFont="1" applyBorder="1" applyAlignment="1" applyProtection="1">
      <alignment horizontal="right" vertical="center"/>
      <protection hidden="1"/>
    </xf>
    <xf numFmtId="0" fontId="18" fillId="0" borderId="3" xfId="0" applyFont="1" applyBorder="1" applyAlignment="1" applyProtection="1">
      <alignment horizontal="right" vertical="center"/>
      <protection hidden="1"/>
    </xf>
    <xf numFmtId="0" fontId="61" fillId="0" borderId="2" xfId="0" applyFont="1" applyBorder="1" applyAlignment="1" applyProtection="1">
      <alignment horizontal="right" vertical="center"/>
      <protection hidden="1"/>
    </xf>
    <xf numFmtId="0" fontId="6" fillId="0" borderId="120" xfId="0" applyFont="1" applyBorder="1" applyAlignment="1" applyProtection="1">
      <alignment horizontal="right" vertical="center"/>
      <protection hidden="1"/>
    </xf>
    <xf numFmtId="0" fontId="6" fillId="0" borderId="152" xfId="0" applyFont="1" applyBorder="1" applyAlignment="1" applyProtection="1">
      <alignment horizontal="right" vertical="center"/>
      <protection hidden="1"/>
    </xf>
    <xf numFmtId="0" fontId="6" fillId="0" borderId="121" xfId="0" applyFont="1" applyBorder="1" applyAlignment="1" applyProtection="1">
      <alignment horizontal="right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168" fontId="6" fillId="2" borderId="1" xfId="0" applyNumberFormat="1" applyFont="1" applyFill="1" applyBorder="1" applyAlignment="1" applyProtection="1">
      <alignment horizontal="center" vertical="center"/>
      <protection locked="0"/>
    </xf>
    <xf numFmtId="168" fontId="6" fillId="2" borderId="3" xfId="0" applyNumberFormat="1" applyFont="1" applyFill="1" applyBorder="1" applyAlignment="1" applyProtection="1">
      <alignment horizontal="center" vertical="center"/>
      <protection locked="0"/>
    </xf>
    <xf numFmtId="169" fontId="6" fillId="2" borderId="1" xfId="0" applyNumberFormat="1" applyFont="1" applyFill="1" applyBorder="1" applyAlignment="1" applyProtection="1">
      <alignment horizontal="center" vertical="center"/>
      <protection locked="0"/>
    </xf>
    <xf numFmtId="16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right" vertical="center"/>
      <protection hidden="1"/>
    </xf>
    <xf numFmtId="0" fontId="6" fillId="0" borderId="3" xfId="0" applyFont="1" applyFill="1" applyBorder="1" applyAlignment="1" applyProtection="1">
      <alignment horizontal="right" vertical="center"/>
      <protection hidden="1"/>
    </xf>
    <xf numFmtId="0" fontId="5" fillId="0" borderId="66" xfId="0" applyFont="1" applyBorder="1" applyAlignment="1" applyProtection="1">
      <alignment horizontal="center" vertical="center"/>
      <protection hidden="1"/>
    </xf>
    <xf numFmtId="0" fontId="5" fillId="0" borderId="68" xfId="0" applyFont="1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right" vertical="center"/>
      <protection hidden="1"/>
    </xf>
    <xf numFmtId="0" fontId="6" fillId="0" borderId="3" xfId="0" applyFont="1" applyBorder="1" applyAlignment="1" applyProtection="1">
      <alignment horizontal="right" vertical="center"/>
      <protection hidden="1"/>
    </xf>
    <xf numFmtId="173" fontId="6" fillId="0" borderId="47" xfId="0" applyNumberFormat="1" applyFont="1" applyBorder="1" applyAlignment="1" applyProtection="1">
      <alignment horizontal="right"/>
      <protection hidden="1"/>
    </xf>
    <xf numFmtId="173" fontId="6" fillId="0" borderId="46" xfId="0" applyNumberFormat="1" applyFont="1" applyBorder="1" applyAlignment="1" applyProtection="1">
      <alignment horizontal="right"/>
      <protection hidden="1"/>
    </xf>
    <xf numFmtId="173" fontId="6" fillId="0" borderId="51" xfId="0" applyNumberFormat="1" applyFont="1" applyBorder="1" applyAlignment="1" applyProtection="1">
      <alignment horizontal="right"/>
      <protection hidden="1"/>
    </xf>
    <xf numFmtId="173" fontId="6" fillId="0" borderId="50" xfId="0" applyNumberFormat="1" applyFont="1" applyBorder="1" applyAlignment="1" applyProtection="1">
      <alignment horizontal="right"/>
      <protection hidden="1"/>
    </xf>
    <xf numFmtId="168" fontId="18" fillId="0" borderId="5" xfId="0" applyNumberFormat="1" applyFont="1" applyBorder="1" applyAlignment="1" applyProtection="1">
      <alignment horizontal="center" vertical="center"/>
      <protection hidden="1"/>
    </xf>
    <xf numFmtId="0" fontId="18" fillId="0" borderId="5" xfId="0" applyFont="1" applyBorder="1" applyAlignment="1" applyProtection="1">
      <alignment horizontal="right" vertical="center"/>
      <protection hidden="1"/>
    </xf>
    <xf numFmtId="168" fontId="6" fillId="0" borderId="1" xfId="0" applyNumberFormat="1" applyFont="1" applyBorder="1" applyAlignment="1" applyProtection="1">
      <alignment horizontal="center"/>
      <protection hidden="1"/>
    </xf>
    <xf numFmtId="168" fontId="6" fillId="0" borderId="3" xfId="0" applyNumberFormat="1" applyFont="1" applyBorder="1" applyAlignment="1" applyProtection="1">
      <alignment horizontal="center"/>
      <protection hidden="1"/>
    </xf>
    <xf numFmtId="168" fontId="6" fillId="0" borderId="2" xfId="0" applyNumberFormat="1" applyFont="1" applyBorder="1" applyAlignment="1" applyProtection="1">
      <alignment horizontal="center"/>
      <protection hidden="1"/>
    </xf>
    <xf numFmtId="0" fontId="27" fillId="0" borderId="94" xfId="0" applyFont="1" applyBorder="1" applyAlignment="1" applyProtection="1">
      <alignment horizontal="center" vertical="center"/>
      <protection hidden="1"/>
    </xf>
    <xf numFmtId="0" fontId="27" fillId="0" borderId="95" xfId="0" applyFont="1" applyBorder="1" applyAlignment="1" applyProtection="1">
      <alignment horizontal="center" vertical="center"/>
      <protection hidden="1"/>
    </xf>
    <xf numFmtId="0" fontId="27" fillId="0" borderId="96" xfId="0" applyFont="1" applyBorder="1" applyAlignment="1" applyProtection="1">
      <alignment horizontal="center" vertical="center"/>
      <protection hidden="1"/>
    </xf>
    <xf numFmtId="0" fontId="5" fillId="0" borderId="97" xfId="0" applyFont="1" applyBorder="1" applyAlignment="1" applyProtection="1">
      <alignment horizontal="right" vertical="center"/>
      <protection hidden="1"/>
    </xf>
    <xf numFmtId="0" fontId="5" fillId="0" borderId="98" xfId="0" applyFont="1" applyBorder="1" applyAlignment="1" applyProtection="1">
      <alignment horizontal="right" vertical="center"/>
      <protection hidden="1"/>
    </xf>
    <xf numFmtId="0" fontId="5" fillId="0" borderId="100" xfId="0" applyFont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62" fillId="0" borderId="41" xfId="0" applyFont="1" applyFill="1" applyBorder="1" applyAlignment="1" applyProtection="1">
      <alignment horizontal="center" vertical="center"/>
      <protection hidden="1"/>
    </xf>
    <xf numFmtId="0" fontId="21" fillId="0" borderId="159" xfId="0" applyFont="1" applyBorder="1" applyAlignment="1" applyProtection="1">
      <alignment horizontal="right" vertical="center"/>
      <protection hidden="1"/>
    </xf>
    <xf numFmtId="0" fontId="21" fillId="0" borderId="161" xfId="0" applyFont="1" applyBorder="1" applyAlignment="1" applyProtection="1">
      <alignment horizontal="left" vertical="center"/>
      <protection hidden="1"/>
    </xf>
    <xf numFmtId="0" fontId="21" fillId="0" borderId="160" xfId="0" applyFont="1" applyBorder="1" applyAlignment="1" applyProtection="1">
      <alignment horizontal="right" vertical="center"/>
      <protection hidden="1"/>
    </xf>
    <xf numFmtId="0" fontId="21" fillId="0" borderId="162" xfId="0" applyFont="1" applyBorder="1" applyAlignment="1" applyProtection="1">
      <alignment horizontal="left" vertical="center"/>
      <protection hidden="1"/>
    </xf>
  </cellXfs>
  <cellStyles count="177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Standard" xfId="0" builtinId="0"/>
  </cellStyles>
  <dxfs count="0"/>
  <tableStyles count="0" defaultTableStyle="TableStyleMedium9" defaultPivotStyle="PivotStyleMedium7"/>
  <colors>
    <mruColors>
      <color rgb="FFFFF803"/>
      <color rgb="FFFF9000"/>
      <color rgb="FFC05C16"/>
      <color rgb="FFFDFAD6"/>
      <color rgb="FFFAFDE0"/>
      <color rgb="FFFFA1A3"/>
      <color rgb="FFFF65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5560715686900663E-2"/>
          <c:y val="3.3710882293559459E-2"/>
          <c:w val="0.90708789897766273"/>
          <c:h val="0.94818499193624894"/>
        </c:manualLayout>
      </c:layout>
      <c:scatterChart>
        <c:scatterStyle val="smoothMarker"/>
        <c:varyColors val="0"/>
        <c:ser>
          <c:idx val="0"/>
          <c:order val="0"/>
          <c:spPr>
            <a:ln w="2540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9.3186410888171736</c:v>
                </c:pt>
                <c:pt idx="22">
                  <c:v>13.160344528683765</c:v>
                </c:pt>
                <c:pt idx="23">
                  <c:v>14.969742238895662</c:v>
                </c:pt>
                <c:pt idx="24">
                  <c:v>16.33794404191292</c:v>
                </c:pt>
                <c:pt idx="25">
                  <c:v>17.472060693531205</c:v>
                </c:pt>
                <c:pt idx="26">
                  <c:v>18.453682129903768</c:v>
                </c:pt>
                <c:pt idx="27">
                  <c:v>19.3251216405219</c:v>
                </c:pt>
                <c:pt idx="28">
                  <c:v>20.111745823356046</c:v>
                </c:pt>
                <c:pt idx="29">
                  <c:v>20.830217493644057</c:v>
                </c:pt>
                <c:pt idx="30">
                  <c:v>21.492198415666849</c:v>
                </c:pt>
                <c:pt idx="31">
                  <c:v>22.106240402883373</c:v>
                </c:pt>
                <c:pt idx="32">
                  <c:v>22.678843771395748</c:v>
                </c:pt>
                <c:pt idx="33">
                  <c:v>23.215092077184011</c:v>
                </c:pt>
                <c:pt idx="34">
                  <c:v>23.719053890636587</c:v>
                </c:pt>
                <c:pt idx="35">
                  <c:v>24.194048430172131</c:v>
                </c:pt>
                <c:pt idx="36">
                  <c:v>24.642827603701789</c:v>
                </c:pt>
                <c:pt idx="37">
                  <c:v>25.067704577630991</c:v>
                </c:pt>
                <c:pt idx="38">
                  <c:v>25.470646939116193</c:v>
                </c:pt>
                <c:pt idx="39">
                  <c:v>25.853345711605641</c:v>
                </c:pt>
                <c:pt idx="40">
                  <c:v>26.217267476914969</c:v>
                </c:pt>
                <c:pt idx="41">
                  <c:v>26.563694411593474</c:v>
                </c:pt>
                <c:pt idx="42">
                  <c:v>26.893755505229251</c:v>
                </c:pt>
                <c:pt idx="43">
                  <c:v>27.20845123133256</c:v>
                </c:pt>
                <c:pt idx="44">
                  <c:v>27.508673280068365</c:v>
                </c:pt>
                <c:pt idx="45">
                  <c:v>27.795220513726122</c:v>
                </c:pt>
                <c:pt idx="46">
                  <c:v>28.068811995828241</c:v>
                </c:pt>
                <c:pt idx="47">
                  <c:v>28.330097726645818</c:v>
                </c:pt>
                <c:pt idx="48">
                  <c:v>28.579667561916381</c:v>
                </c:pt>
                <c:pt idx="49">
                  <c:v>28.818058678381362</c:v>
                </c:pt>
                <c:pt idx="50">
                  <c:v>29.045761866535827</c:v>
                </c:pt>
                <c:pt idx="51">
                  <c:v>29.26322686901716</c:v>
                </c:pt>
                <c:pt idx="52">
                  <c:v>29.470866936401364</c:v>
                </c:pt>
                <c:pt idx="53">
                  <c:v>29.669062736668764</c:v>
                </c:pt>
                <c:pt idx="54">
                  <c:v>29.858165727312041</c:v>
                </c:pt>
                <c:pt idx="55">
                  <c:v>30.038501077902197</c:v>
                </c:pt>
                <c:pt idx="56">
                  <c:v>30.210370214377008</c:v>
                </c:pt>
                <c:pt idx="57">
                  <c:v>30.374053043271772</c:v>
                </c:pt>
                <c:pt idx="58">
                  <c:v>30.529809903746923</c:v>
                </c:pt>
                <c:pt idx="59">
                  <c:v>30.677883286982933</c:v>
                </c:pt>
                <c:pt idx="60">
                  <c:v>30.818499355838981</c:v>
                </c:pt>
                <c:pt idx="61">
                  <c:v>30.95186929226378</c:v>
                </c:pt>
                <c:pt idx="62">
                  <c:v>31.078190495546039</c:v>
                </c:pt>
                <c:pt idx="63">
                  <c:v>31.197647650877741</c:v>
                </c:pt>
                <c:pt idx="64">
                  <c:v>31.310413684733021</c:v>
                </c:pt>
                <c:pt idx="65">
                  <c:v>31.416650621098483</c:v>
                </c:pt>
                <c:pt idx="66">
                  <c:v>31.51651035054681</c:v>
                </c:pt>
                <c:pt idx="67">
                  <c:v>31.610135322429983</c:v>
                </c:pt>
                <c:pt idx="68">
                  <c:v>31.69765916903043</c:v>
                </c:pt>
                <c:pt idx="69">
                  <c:v>31.779207269299491</c:v>
                </c:pt>
                <c:pt idx="70">
                  <c:v>31.854897258783694</c:v>
                </c:pt>
                <c:pt idx="71">
                  <c:v>31.924839491468106</c:v>
                </c:pt>
                <c:pt idx="72">
                  <c:v>31.98913745852434</c:v>
                </c:pt>
                <c:pt idx="73">
                  <c:v>32.047888168310237</c:v>
                </c:pt>
                <c:pt idx="74">
                  <c:v>32.101182491424083</c:v>
                </c:pt>
                <c:pt idx="75">
                  <c:v>32.149105474142232</c:v>
                </c:pt>
                <c:pt idx="76">
                  <c:v>32.191736623160352</c:v>
                </c:pt>
                <c:pt idx="77">
                  <c:v>32.229150164204725</c:v>
                </c:pt>
                <c:pt idx="78">
                  <c:v>32.261415276767707</c:v>
                </c:pt>
                <c:pt idx="79">
                  <c:v>32.288596306951945</c:v>
                </c:pt>
                <c:pt idx="80">
                  <c:v>32.310752960170475</c:v>
                </c:pt>
                <c:pt idx="81">
                  <c:v>32.327940475235607</c:v>
                </c:pt>
                <c:pt idx="82">
                  <c:v>32.340209781187411</c:v>
                </c:pt>
                <c:pt idx="83">
                  <c:v>32.347607638043314</c:v>
                </c:pt>
                <c:pt idx="84">
                  <c:v>32.350176762501633</c:v>
                </c:pt>
                <c:pt idx="85">
                  <c:v>32.34795593949957</c:v>
                </c:pt>
                <c:pt idx="86">
                  <c:v>32.340980120402094</c:v>
                </c:pt>
                <c:pt idx="87">
                  <c:v>32.329280508488353</c:v>
                </c:pt>
                <c:pt idx="88">
                  <c:v>32.312884632299983</c:v>
                </c:pt>
                <c:pt idx="89">
                  <c:v>32.291816407320141</c:v>
                </c:pt>
                <c:pt idx="90">
                  <c:v>32.266096186362915</c:v>
                </c:pt>
                <c:pt idx="91">
                  <c:v>32.235740798969744</c:v>
                </c:pt>
                <c:pt idx="92">
                  <c:v>32.200763580026376</c:v>
                </c:pt>
                <c:pt idx="93">
                  <c:v>32.161174387737844</c:v>
                </c:pt>
                <c:pt idx="94">
                  <c:v>32.116979611020327</c:v>
                </c:pt>
                <c:pt idx="95">
                  <c:v>32.068182166292104</c:v>
                </c:pt>
                <c:pt idx="96">
                  <c:v>32.014781483570857</c:v>
                </c:pt>
                <c:pt idx="97">
                  <c:v>31.956773481702044</c:v>
                </c:pt>
                <c:pt idx="98">
                  <c:v>31.89415053246438</c:v>
                </c:pt>
                <c:pt idx="99">
                  <c:v>31.826901413212113</c:v>
                </c:pt>
                <c:pt idx="100">
                  <c:v>31.755011247622519</c:v>
                </c:pt>
                <c:pt idx="101">
                  <c:v>31.678461434021926</c:v>
                </c:pt>
                <c:pt idx="102">
                  <c:v>31.597229560655762</c:v>
                </c:pt>
                <c:pt idx="103">
                  <c:v>31.511289307158108</c:v>
                </c:pt>
                <c:pt idx="104">
                  <c:v>31.420610331346438</c:v>
                </c:pt>
                <c:pt idx="105">
                  <c:v>31.325158140329506</c:v>
                </c:pt>
                <c:pt idx="106">
                  <c:v>31.224893944763039</c:v>
                </c:pt>
                <c:pt idx="107">
                  <c:v>31.119774494908938</c:v>
                </c:pt>
                <c:pt idx="108">
                  <c:v>31.009751896961575</c:v>
                </c:pt>
                <c:pt idx="109">
                  <c:v>30.894773407879541</c:v>
                </c:pt>
                <c:pt idx="110">
                  <c:v>30.774781206706393</c:v>
                </c:pt>
                <c:pt idx="111">
                  <c:v>30.649712140074769</c:v>
                </c:pt>
                <c:pt idx="112">
                  <c:v>30.519497439253144</c:v>
                </c:pt>
                <c:pt idx="113">
                  <c:v>30.384062405707937</c:v>
                </c:pt>
                <c:pt idx="114">
                  <c:v>30.243326061708615</c:v>
                </c:pt>
                <c:pt idx="115">
                  <c:v>30.097200761981469</c:v>
                </c:pt>
                <c:pt idx="116">
                  <c:v>29.945591761812352</c:v>
                </c:pt>
                <c:pt idx="117">
                  <c:v>29.788396736285563</c:v>
                </c:pt>
                <c:pt idx="118">
                  <c:v>29.625505244511032</c:v>
                </c:pt>
                <c:pt idx="119">
                  <c:v>29.456798131698974</c:v>
                </c:pt>
                <c:pt idx="120">
                  <c:v>29.28214686077024</c:v>
                </c:pt>
                <c:pt idx="121">
                  <c:v>29.101412763789085</c:v>
                </c:pt>
                <c:pt idx="122">
                  <c:v>28.914446201830856</c:v>
                </c:pt>
                <c:pt idx="123">
                  <c:v>28.721085619881876</c:v>
                </c:pt>
                <c:pt idx="124">
                  <c:v>28.521156480936781</c:v>
                </c:pt>
                <c:pt idx="125">
                  <c:v>28.31447006049757</c:v>
                </c:pt>
                <c:pt idx="126">
                  <c:v>28.100822079074476</c:v>
                </c:pt>
                <c:pt idx="127">
                  <c:v>27.879991145851363</c:v>
                </c:pt>
                <c:pt idx="128">
                  <c:v>27.651736981205431</c:v>
                </c:pt>
                <c:pt idx="129">
                  <c:v>27.415798378969441</c:v>
                </c:pt>
                <c:pt idx="130">
                  <c:v>27.171890860806741</c:v>
                </c:pt>
                <c:pt idx="131">
                  <c:v>26.919703964352834</c:v>
                </c:pt>
                <c:pt idx="132">
                  <c:v>26.658898093158939</c:v>
                </c:pt>
                <c:pt idx="133">
                  <c:v>26.389100839063133</c:v>
                </c:pt>
                <c:pt idx="134">
                  <c:v>26.109902665144489</c:v>
                </c:pt>
                <c:pt idx="135">
                  <c:v>25.820851808158977</c:v>
                </c:pt>
                <c:pt idx="136">
                  <c:v>25.521448220890363</c:v>
                </c:pt>
                <c:pt idx="137">
                  <c:v>25.21113632373698</c:v>
                </c:pt>
                <c:pt idx="138">
                  <c:v>24.88929626616823</c:v>
                </c:pt>
                <c:pt idx="139">
                  <c:v>24.555233305229308</c:v>
                </c:pt>
                <c:pt idx="140">
                  <c:v>24.208164779412925</c:v>
                </c:pt>
                <c:pt idx="141">
                  <c:v>23.847203975917409</c:v>
                </c:pt>
                <c:pt idx="142">
                  <c:v>23.471339932968476</c:v>
                </c:pt>
                <c:pt idx="143">
                  <c:v>23.079411847935319</c:v>
                </c:pt>
                <c:pt idx="144">
                  <c:v>22.670076214599248</c:v>
                </c:pt>
                <c:pt idx="145">
                  <c:v>22.241763987474087</c:v>
                </c:pt>
                <c:pt idx="146">
                  <c:v>21.792623795543591</c:v>
                </c:pt>
                <c:pt idx="147">
                  <c:v>21.320445201854625</c:v>
                </c:pt>
                <c:pt idx="148">
                  <c:v>20.822552685325718</c:v>
                </c:pt>
                <c:pt idx="149">
                  <c:v>20.295655381052143</c:v>
                </c:pt>
                <c:pt idx="150">
                  <c:v>19.735627625376992</c:v>
                </c:pt>
                <c:pt idx="151">
                  <c:v>19.137176764673541</c:v>
                </c:pt>
                <c:pt idx="152">
                  <c:v>18.493318005133347</c:v>
                </c:pt>
                <c:pt idx="153">
                  <c:v>17.794498289042281</c:v>
                </c:pt>
                <c:pt idx="154">
                  <c:v>17.027030627017041</c:v>
                </c:pt>
                <c:pt idx="155">
                  <c:v>16.170029118091009</c:v>
                </c:pt>
                <c:pt idx="156">
                  <c:v>15.188591547235433</c:v>
                </c:pt>
                <c:pt idx="157">
                  <c:v>14.015370719423174</c:v>
                </c:pt>
                <c:pt idx="158">
                  <c:v>12.47980163735366</c:v>
                </c:pt>
                <c:pt idx="159">
                  <c:v>9.356877772376663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899-5649-96E2-64AEA5682F16}"/>
            </c:ext>
          </c:extLst>
        </c:ser>
        <c:ser>
          <c:idx val="1"/>
          <c:order val="1"/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7.8945694263322252</c:v>
                </c:pt>
                <c:pt idx="22">
                  <c:v>4.0528659864656333</c:v>
                </c:pt>
                <c:pt idx="23">
                  <c:v>2.2434682762537363</c:v>
                </c:pt>
                <c:pt idx="24">
                  <c:v>0.87526647323653606</c:v>
                </c:pt>
                <c:pt idx="25">
                  <c:v>-0.25885017838174917</c:v>
                </c:pt>
                <c:pt idx="26">
                  <c:v>-1.2404716147543127</c:v>
                </c:pt>
                <c:pt idx="27">
                  <c:v>-2.1119111253725009</c:v>
                </c:pt>
                <c:pt idx="28">
                  <c:v>-2.8985353082065899</c:v>
                </c:pt>
                <c:pt idx="29">
                  <c:v>-3.6170069784946577</c:v>
                </c:pt>
                <c:pt idx="30">
                  <c:v>-4.278987900517393</c:v>
                </c:pt>
                <c:pt idx="31">
                  <c:v>-4.8930298877339169</c:v>
                </c:pt>
                <c:pt idx="32">
                  <c:v>-5.465633256246349</c:v>
                </c:pt>
                <c:pt idx="33">
                  <c:v>-6.0018815620345549</c:v>
                </c:pt>
                <c:pt idx="34">
                  <c:v>-6.5058433754871317</c:v>
                </c:pt>
                <c:pt idx="35">
                  <c:v>-6.9808379150227324</c:v>
                </c:pt>
                <c:pt idx="36">
                  <c:v>-7.4296170885523907</c:v>
                </c:pt>
                <c:pt idx="37">
                  <c:v>-7.8544940624815354</c:v>
                </c:pt>
                <c:pt idx="38">
                  <c:v>-8.2574364239667375</c:v>
                </c:pt>
                <c:pt idx="39">
                  <c:v>-8.6401351964562423</c:v>
                </c:pt>
                <c:pt idx="40">
                  <c:v>-9.0040569617655706</c:v>
                </c:pt>
                <c:pt idx="41">
                  <c:v>-9.3504838964440751</c:v>
                </c:pt>
                <c:pt idx="42">
                  <c:v>-9.6805449900797953</c:v>
                </c:pt>
                <c:pt idx="43">
                  <c:v>-9.9952407161831616</c:v>
                </c:pt>
                <c:pt idx="44">
                  <c:v>-10.295462764918909</c:v>
                </c:pt>
                <c:pt idx="45">
                  <c:v>-10.582009998576723</c:v>
                </c:pt>
                <c:pt idx="46">
                  <c:v>-10.855601480678843</c:v>
                </c:pt>
                <c:pt idx="47">
                  <c:v>-11.116887211496419</c:v>
                </c:pt>
                <c:pt idx="48">
                  <c:v>-11.366457046766925</c:v>
                </c:pt>
                <c:pt idx="49">
                  <c:v>-11.604848163231964</c:v>
                </c:pt>
                <c:pt idx="50">
                  <c:v>-11.832551351386428</c:v>
                </c:pt>
                <c:pt idx="51">
                  <c:v>-12.050016353867704</c:v>
                </c:pt>
                <c:pt idx="52">
                  <c:v>-12.257656421251966</c:v>
                </c:pt>
                <c:pt idx="53">
                  <c:v>-12.455852221519365</c:v>
                </c:pt>
                <c:pt idx="54">
                  <c:v>-12.644955212162643</c:v>
                </c:pt>
                <c:pt idx="55">
                  <c:v>-12.825290562752741</c:v>
                </c:pt>
                <c:pt idx="56">
                  <c:v>-12.997159699227609</c:v>
                </c:pt>
                <c:pt idx="57">
                  <c:v>-13.160842528122373</c:v>
                </c:pt>
                <c:pt idx="58">
                  <c:v>-13.316599388597467</c:v>
                </c:pt>
                <c:pt idx="59">
                  <c:v>-13.464672771833534</c:v>
                </c:pt>
                <c:pt idx="60">
                  <c:v>-13.605288840689582</c:v>
                </c:pt>
                <c:pt idx="61">
                  <c:v>-13.738658777114324</c:v>
                </c:pt>
                <c:pt idx="62">
                  <c:v>-13.864979980396583</c:v>
                </c:pt>
                <c:pt idx="63">
                  <c:v>-13.984437135728342</c:v>
                </c:pt>
                <c:pt idx="64">
                  <c:v>-14.097203169583622</c:v>
                </c:pt>
                <c:pt idx="65">
                  <c:v>-14.203440105949028</c:v>
                </c:pt>
                <c:pt idx="66">
                  <c:v>-14.303299835397411</c:v>
                </c:pt>
                <c:pt idx="67">
                  <c:v>-14.396924807280584</c:v>
                </c:pt>
                <c:pt idx="68">
                  <c:v>-14.484448653881032</c:v>
                </c:pt>
                <c:pt idx="69">
                  <c:v>-14.565996754150092</c:v>
                </c:pt>
                <c:pt idx="70">
                  <c:v>-14.641686743634239</c:v>
                </c:pt>
                <c:pt idx="71">
                  <c:v>-14.71162897631865</c:v>
                </c:pt>
                <c:pt idx="72">
                  <c:v>-14.775926943374941</c:v>
                </c:pt>
                <c:pt idx="73">
                  <c:v>-14.834677653160838</c:v>
                </c:pt>
                <c:pt idx="74">
                  <c:v>-14.887971976274628</c:v>
                </c:pt>
                <c:pt idx="75">
                  <c:v>-14.935894958992776</c:v>
                </c:pt>
                <c:pt idx="76">
                  <c:v>-14.978526108010954</c:v>
                </c:pt>
                <c:pt idx="77">
                  <c:v>-15.015939649055326</c:v>
                </c:pt>
                <c:pt idx="78">
                  <c:v>-15.048204761618251</c:v>
                </c:pt>
                <c:pt idx="79">
                  <c:v>-15.075385791802546</c:v>
                </c:pt>
                <c:pt idx="80">
                  <c:v>-15.097542445021077</c:v>
                </c:pt>
                <c:pt idx="81">
                  <c:v>-15.114729960086152</c:v>
                </c:pt>
                <c:pt idx="82">
                  <c:v>-15.126999266037956</c:v>
                </c:pt>
                <c:pt idx="83">
                  <c:v>-15.134397122893859</c:v>
                </c:pt>
                <c:pt idx="84">
                  <c:v>-15.136966247352177</c:v>
                </c:pt>
                <c:pt idx="85">
                  <c:v>-15.134745424350172</c:v>
                </c:pt>
                <c:pt idx="86">
                  <c:v>-15.127769605252695</c:v>
                </c:pt>
                <c:pt idx="87">
                  <c:v>-15.116069993338897</c:v>
                </c:pt>
                <c:pt idx="88">
                  <c:v>-15.099674117150585</c:v>
                </c:pt>
                <c:pt idx="89">
                  <c:v>-15.078605892170685</c:v>
                </c:pt>
                <c:pt idx="90">
                  <c:v>-15.05288567121346</c:v>
                </c:pt>
                <c:pt idx="91">
                  <c:v>-15.022530283820345</c:v>
                </c:pt>
                <c:pt idx="92">
                  <c:v>-14.987553064876977</c:v>
                </c:pt>
                <c:pt idx="93">
                  <c:v>-14.947963872588446</c:v>
                </c:pt>
                <c:pt idx="94">
                  <c:v>-14.903769095870871</c:v>
                </c:pt>
                <c:pt idx="95">
                  <c:v>-14.854971651142648</c:v>
                </c:pt>
                <c:pt idx="96">
                  <c:v>-14.801570968421458</c:v>
                </c:pt>
                <c:pt idx="97">
                  <c:v>-14.743562966552645</c:v>
                </c:pt>
                <c:pt idx="98">
                  <c:v>-14.680940017314924</c:v>
                </c:pt>
                <c:pt idx="99">
                  <c:v>-14.613690898062657</c:v>
                </c:pt>
                <c:pt idx="100">
                  <c:v>-14.541800732473121</c:v>
                </c:pt>
                <c:pt idx="101">
                  <c:v>-14.465250918872471</c:v>
                </c:pt>
                <c:pt idx="102">
                  <c:v>-14.384019045506307</c:v>
                </c:pt>
                <c:pt idx="103">
                  <c:v>-14.29807879200871</c:v>
                </c:pt>
                <c:pt idx="104">
                  <c:v>-14.207399816196983</c:v>
                </c:pt>
                <c:pt idx="105">
                  <c:v>-14.111947625180107</c:v>
                </c:pt>
                <c:pt idx="106">
                  <c:v>-14.011683429613583</c:v>
                </c:pt>
                <c:pt idx="107">
                  <c:v>-13.906563979759483</c:v>
                </c:pt>
                <c:pt idx="108">
                  <c:v>-13.796541381812119</c:v>
                </c:pt>
                <c:pt idx="109">
                  <c:v>-13.681562892730142</c:v>
                </c:pt>
                <c:pt idx="110">
                  <c:v>-13.561570691556994</c:v>
                </c:pt>
                <c:pt idx="111">
                  <c:v>-13.43650162492537</c:v>
                </c:pt>
                <c:pt idx="112">
                  <c:v>-13.306286924103688</c:v>
                </c:pt>
                <c:pt idx="113">
                  <c:v>-13.170851890558481</c:v>
                </c:pt>
                <c:pt idx="114">
                  <c:v>-13.030115546559159</c:v>
                </c:pt>
                <c:pt idx="115">
                  <c:v>-12.883990246832013</c:v>
                </c:pt>
                <c:pt idx="116">
                  <c:v>-12.732381246662897</c:v>
                </c:pt>
                <c:pt idx="117">
                  <c:v>-12.575186221136164</c:v>
                </c:pt>
                <c:pt idx="118">
                  <c:v>-12.412294729361577</c:v>
                </c:pt>
                <c:pt idx="119">
                  <c:v>-12.243587616549576</c:v>
                </c:pt>
                <c:pt idx="120">
                  <c:v>-12.068936345620841</c:v>
                </c:pt>
                <c:pt idx="121">
                  <c:v>-11.888202248639686</c:v>
                </c:pt>
                <c:pt idx="122">
                  <c:v>-11.7012356866814</c:v>
                </c:pt>
                <c:pt idx="123">
                  <c:v>-11.507875104732477</c:v>
                </c:pt>
                <c:pt idx="124">
                  <c:v>-11.307945965787326</c:v>
                </c:pt>
                <c:pt idx="125">
                  <c:v>-11.101259545348114</c:v>
                </c:pt>
                <c:pt idx="126">
                  <c:v>-10.88761156392502</c:v>
                </c:pt>
                <c:pt idx="127">
                  <c:v>-10.666780630701965</c:v>
                </c:pt>
                <c:pt idx="128">
                  <c:v>-10.438526466056032</c:v>
                </c:pt>
                <c:pt idx="129">
                  <c:v>-10.202587863820042</c:v>
                </c:pt>
                <c:pt idx="130">
                  <c:v>-9.9586803456572852</c:v>
                </c:pt>
                <c:pt idx="131">
                  <c:v>-9.7064934492034354</c:v>
                </c:pt>
                <c:pt idx="132">
                  <c:v>-9.4456875780095402</c:v>
                </c:pt>
                <c:pt idx="133">
                  <c:v>-9.1758903239137339</c:v>
                </c:pt>
                <c:pt idx="134">
                  <c:v>-8.8966921499950899</c:v>
                </c:pt>
                <c:pt idx="135">
                  <c:v>-8.6076412930095785</c:v>
                </c:pt>
                <c:pt idx="136">
                  <c:v>-8.3082377057409076</c:v>
                </c:pt>
                <c:pt idx="137">
                  <c:v>-7.9979258085875813</c:v>
                </c:pt>
                <c:pt idx="138">
                  <c:v>-7.6760857510188316</c:v>
                </c:pt>
                <c:pt idx="139">
                  <c:v>-7.3420227900798523</c:v>
                </c:pt>
                <c:pt idx="140">
                  <c:v>-6.9949542642635265</c:v>
                </c:pt>
                <c:pt idx="141">
                  <c:v>-6.6339934607680107</c:v>
                </c:pt>
                <c:pt idx="142">
                  <c:v>-6.2581294178190774</c:v>
                </c:pt>
                <c:pt idx="143">
                  <c:v>-5.8662013327858631</c:v>
                </c:pt>
                <c:pt idx="144">
                  <c:v>-5.4568656994498497</c:v>
                </c:pt>
                <c:pt idx="145">
                  <c:v>-5.0285534723246883</c:v>
                </c:pt>
                <c:pt idx="146">
                  <c:v>-4.5794132803941352</c:v>
                </c:pt>
                <c:pt idx="147">
                  <c:v>-4.1072346867052261</c:v>
                </c:pt>
                <c:pt idx="148">
                  <c:v>-3.6093421701762622</c:v>
                </c:pt>
                <c:pt idx="149">
                  <c:v>-3.0824448659026871</c:v>
                </c:pt>
                <c:pt idx="150">
                  <c:v>-2.5224171102275363</c:v>
                </c:pt>
                <c:pt idx="151">
                  <c:v>-1.9239662495241419</c:v>
                </c:pt>
                <c:pt idx="152">
                  <c:v>-1.2801074899838909</c:v>
                </c:pt>
                <c:pt idx="153">
                  <c:v>-0.58128777389288189</c:v>
                </c:pt>
                <c:pt idx="154">
                  <c:v>0.18617988813235797</c:v>
                </c:pt>
                <c:pt idx="155">
                  <c:v>1.0431813970584471</c:v>
                </c:pt>
                <c:pt idx="156">
                  <c:v>2.024618967914023</c:v>
                </c:pt>
                <c:pt idx="157">
                  <c:v>3.1978397957262814</c:v>
                </c:pt>
                <c:pt idx="158">
                  <c:v>4.733408877795739</c:v>
                </c:pt>
                <c:pt idx="159">
                  <c:v>7.8563327427727927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899-5649-96E2-64AEA5682F16}"/>
            </c:ext>
          </c:extLst>
        </c:ser>
        <c:ser>
          <c:idx val="2"/>
          <c:order val="2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-40.787704270236461</c:v>
                </c:pt>
                <c:pt idx="1">
                  <c:v>-40.787704270236461</c:v>
                </c:pt>
                <c:pt idx="2">
                  <c:v>-37.862116372729773</c:v>
                </c:pt>
                <c:pt idx="3">
                  <c:v>-35.149041320535098</c:v>
                </c:pt>
                <c:pt idx="4">
                  <c:v>-33.300562689638149</c:v>
                </c:pt>
                <c:pt idx="5">
                  <c:v>-31.820747859536009</c:v>
                </c:pt>
                <c:pt idx="6">
                  <c:v>-30.561788510855269</c:v>
                </c:pt>
                <c:pt idx="7">
                  <c:v>-29.45517153689811</c:v>
                </c:pt>
                <c:pt idx="8">
                  <c:v>-28.462352385695375</c:v>
                </c:pt>
                <c:pt idx="9">
                  <c:v>-27.559038532513004</c:v>
                </c:pt>
                <c:pt idx="10">
                  <c:v>-26.728718200333322</c:v>
                </c:pt>
                <c:pt idx="11">
                  <c:v>-25.959543676251059</c:v>
                </c:pt>
                <c:pt idx="12">
                  <c:v>-25.242659692086619</c:v>
                </c:pt>
                <c:pt idx="13">
                  <c:v>-24.571233051536289</c:v>
                </c:pt>
                <c:pt idx="14">
                  <c:v>-23.939853983027454</c:v>
                </c:pt>
                <c:pt idx="15">
                  <c:v>-23.344148506782414</c:v>
                </c:pt>
                <c:pt idx="16">
                  <c:v>-22.780517332630129</c:v>
                </c:pt>
                <c:pt idx="17">
                  <c:v>-22.245954115743046</c:v>
                </c:pt>
                <c:pt idx="18">
                  <c:v>-21.737915388755599</c:v>
                </c:pt>
                <c:pt idx="19">
                  <c:v>-21.254225234726484</c:v>
                </c:pt>
                <c:pt idx="20">
                  <c:v>-20.793003965003066</c:v>
                </c:pt>
                <c:pt idx="21">
                  <c:v>-20.352613784214114</c:v>
                </c:pt>
                <c:pt idx="22">
                  <c:v>-19.931616730713689</c:v>
                </c:pt>
                <c:pt idx="23">
                  <c:v>-19.528741653716217</c:v>
                </c:pt>
                <c:pt idx="24">
                  <c:v>-19.142857953821416</c:v>
                </c:pt>
                <c:pt idx="25">
                  <c:v>-18.772954461207526</c:v>
                </c:pt>
                <c:pt idx="26">
                  <c:v>-18.418122269196711</c:v>
                </c:pt>
                <c:pt idx="27">
                  <c:v>-18.077540650213585</c:v>
                </c:pt>
                <c:pt idx="28">
                  <c:v>-17.750465400600522</c:v>
                </c:pt>
                <c:pt idx="29">
                  <c:v>-17.436219118829609</c:v>
                </c:pt>
                <c:pt idx="30">
                  <c:v>-17.134183037131432</c:v>
                </c:pt>
                <c:pt idx="31">
                  <c:v>-16.843790112014748</c:v>
                </c:pt>
                <c:pt idx="32">
                  <c:v>-16.564519143137364</c:v>
                </c:pt>
                <c:pt idx="33">
                  <c:v>-16.295889738428148</c:v>
                </c:pt>
                <c:pt idx="34">
                  <c:v>-16.037457980403001</c:v>
                </c:pt>
                <c:pt idx="35">
                  <c:v>-15.788812677216923</c:v>
                </c:pt>
                <c:pt idx="36">
                  <c:v>-15.549572104263321</c:v>
                </c:pt>
                <c:pt idx="37">
                  <c:v>-15.319381159622157</c:v>
                </c:pt>
                <c:pt idx="38">
                  <c:v>-15.097908870495202</c:v>
                </c:pt>
                <c:pt idx="39">
                  <c:v>-14.884846198796065</c:v>
                </c:pt>
                <c:pt idx="40">
                  <c:v>-14.679904102913829</c:v>
                </c:pt>
                <c:pt idx="41">
                  <c:v>-14.48281181981497</c:v>
                </c:pt>
                <c:pt idx="42">
                  <c:v>-14.293315337456685</c:v>
                </c:pt>
                <c:pt idx="43">
                  <c:v>-14.111176032229222</c:v>
                </c:pt>
                <c:pt idx="44">
                  <c:v>-13.936169450043369</c:v>
                </c:pt>
                <c:pt idx="45">
                  <c:v>-13.768084212898426</c:v>
                </c:pt>
                <c:pt idx="46">
                  <c:v>-13.606721035437445</c:v>
                </c:pt>
                <c:pt idx="47">
                  <c:v>-13.451891838223107</c:v>
                </c:pt>
                <c:pt idx="48">
                  <c:v>-13.303418946332936</c:v>
                </c:pt>
                <c:pt idx="49">
                  <c:v>-13.161134363439574</c:v>
                </c:pt>
                <c:pt idx="50">
                  <c:v>-13.024879112866808</c:v>
                </c:pt>
                <c:pt idx="51">
                  <c:v>-12.894502638232579</c:v>
                </c:pt>
                <c:pt idx="52">
                  <c:v>-12.769862257245567</c:v>
                </c:pt>
                <c:pt idx="53">
                  <c:v>-12.650822663035619</c:v>
                </c:pt>
                <c:pt idx="54">
                  <c:v>-12.537255468096761</c:v>
                </c:pt>
                <c:pt idx="55">
                  <c:v>-12.429038786520076</c:v>
                </c:pt>
                <c:pt idx="56">
                  <c:v>-12.326056850711529</c:v>
                </c:pt>
                <c:pt idx="57">
                  <c:v>-12.228199659234942</c:v>
                </c:pt>
                <c:pt idx="58">
                  <c:v>-12.135362652810015</c:v>
                </c:pt>
                <c:pt idx="59">
                  <c:v>-12.047446415829063</c:v>
                </c:pt>
                <c:pt idx="60">
                  <c:v>-11.964356401052333</c:v>
                </c:pt>
                <c:pt idx="61">
                  <c:v>-11.886002675397043</c:v>
                </c:pt>
                <c:pt idx="62">
                  <c:v>-11.812299684960125</c:v>
                </c:pt>
                <c:pt idx="63">
                  <c:v>-11.743166037612731</c:v>
                </c:pt>
                <c:pt idx="64">
                  <c:v>-11.67852430167847</c:v>
                </c:pt>
                <c:pt idx="65">
                  <c:v>-11.618300819359973</c:v>
                </c:pt>
                <c:pt idx="66">
                  <c:v>-11.562425533715556</c:v>
                </c:pt>
                <c:pt idx="67">
                  <c:v>-11.510831828107365</c:v>
                </c:pt>
                <c:pt idx="68">
                  <c:v>-11.46345637714929</c:v>
                </c:pt>
                <c:pt idx="69">
                  <c:v>-11.420239008278626</c:v>
                </c:pt>
                <c:pt idx="70">
                  <c:v>-11.381122573160679</c:v>
                </c:pt>
                <c:pt idx="71">
                  <c:v>-11.346052828210739</c:v>
                </c:pt>
                <c:pt idx="72">
                  <c:v>-11.314978323587374</c:v>
                </c:pt>
                <c:pt idx="73">
                  <c:v>-11.287850300070781</c:v>
                </c:pt>
                <c:pt idx="74">
                  <c:v>-11.264622593296675</c:v>
                </c:pt>
                <c:pt idx="75">
                  <c:v>-11.245251544864187</c:v>
                </c:pt>
                <c:pt idx="76">
                  <c:v>-11.229695919883559</c:v>
                </c:pt>
                <c:pt idx="77">
                  <c:v>-11.217916830568026</c:v>
                </c:pt>
                <c:pt idx="78">
                  <c:v>-11.20987766551279</c:v>
                </c:pt>
                <c:pt idx="79">
                  <c:v>-11.205544024337984</c:v>
                </c:pt>
                <c:pt idx="80">
                  <c:v>-11.204883657402261</c:v>
                </c:pt>
                <c:pt idx="81">
                  <c:v>-11.207866410323632</c:v>
                </c:pt>
                <c:pt idx="82">
                  <c:v>-11.214464173069057</c:v>
                </c:pt>
                <c:pt idx="83">
                  <c:v>-11.224650833399457</c:v>
                </c:pt>
                <c:pt idx="84">
                  <c:v>-11.238402234478263</c:v>
                </c:pt>
                <c:pt idx="85">
                  <c:v>-11.255696136473349</c:v>
                </c:pt>
                <c:pt idx="86">
                  <c:v>-11.276512182001278</c:v>
                </c:pt>
                <c:pt idx="87">
                  <c:v>-11.300831865281104</c:v>
                </c:pt>
                <c:pt idx="88">
                  <c:v>-11.328638504882393</c:v>
                </c:pt>
                <c:pt idx="89">
                  <c:v>-11.359917219969136</c:v>
                </c:pt>
                <c:pt idx="90">
                  <c:v>-11.394654909955552</c:v>
                </c:pt>
                <c:pt idx="91">
                  <c:v>-11.43284023750725</c:v>
                </c:pt>
                <c:pt idx="92">
                  <c:v>-11.47446361483326</c:v>
                </c:pt>
                <c:pt idx="93">
                  <c:v>-11.519517193231382</c:v>
                </c:pt>
                <c:pt idx="94">
                  <c:v>-11.56799485586142</c:v>
                </c:pt>
                <c:pt idx="95">
                  <c:v>-11.61989221373652</c:v>
                </c:pt>
                <c:pt idx="96">
                  <c:v>-11.675206604935349</c:v>
                </c:pt>
                <c:pt idx="97">
                  <c:v>-11.733937097053465</c:v>
                </c:pt>
                <c:pt idx="98">
                  <c:v>-11.796084492925567</c:v>
                </c:pt>
                <c:pt idx="99">
                  <c:v>-11.861651339665285</c:v>
                </c:pt>
                <c:pt idx="100">
                  <c:v>-11.930641941084813</c:v>
                </c:pt>
                <c:pt idx="101">
                  <c:v>-12.003062373571547</c:v>
                </c:pt>
                <c:pt idx="102">
                  <c:v>-12.078920505516455</c:v>
                </c:pt>
                <c:pt idx="103">
                  <c:v>-12.158226020405111</c:v>
                </c:pt>
                <c:pt idx="104">
                  <c:v>-12.240990443701733</c:v>
                </c:pt>
                <c:pt idx="105">
                  <c:v>-12.327227173675809</c:v>
                </c:pt>
                <c:pt idx="106">
                  <c:v>-12.416951516341324</c:v>
                </c:pt>
                <c:pt idx="107">
                  <c:v>-12.510180724702415</c:v>
                </c:pt>
                <c:pt idx="108">
                  <c:v>-12.606934042522642</c:v>
                </c:pt>
                <c:pt idx="109">
                  <c:v>-12.707232752862179</c:v>
                </c:pt>
                <c:pt idx="110">
                  <c:v>-12.81110023165604</c:v>
                </c:pt>
                <c:pt idx="111">
                  <c:v>-12.918562006638638</c:v>
                </c:pt>
                <c:pt idx="112">
                  <c:v>-13.029645821953716</c:v>
                </c:pt>
                <c:pt idx="113">
                  <c:v>-13.144381708828694</c:v>
                </c:pt>
                <c:pt idx="114">
                  <c:v>-13.262802062733229</c:v>
                </c:pt>
                <c:pt idx="115">
                  <c:v>-13.384941727489998</c:v>
                </c:pt>
                <c:pt idx="116">
                  <c:v>-13.510838086857754</c:v>
                </c:pt>
                <c:pt idx="117">
                  <c:v>-13.640531164164328</c:v>
                </c:pt>
                <c:pt idx="118">
                  <c:v>-13.774063730633063</c:v>
                </c:pt>
                <c:pt idx="119">
                  <c:v>-13.911481423118843</c:v>
                </c:pt>
                <c:pt idx="120">
                  <c:v>-14.052832872051022</c:v>
                </c:pt>
                <c:pt idx="121">
                  <c:v>-14.198169840473801</c:v>
                </c:pt>
                <c:pt idx="122">
                  <c:v>-14.347547375176996</c:v>
                </c:pt>
                <c:pt idx="123">
                  <c:v>-14.501023971028987</c:v>
                </c:pt>
                <c:pt idx="124">
                  <c:v>-14.658661749755293</c:v>
                </c:pt>
                <c:pt idx="125">
                  <c:v>-14.82052665455849</c:v>
                </c:pt>
                <c:pt idx="126">
                  <c:v>-14.986688662146841</c:v>
                </c:pt>
                <c:pt idx="127">
                  <c:v>-15.157222013935689</c:v>
                </c:pt>
                <c:pt idx="128">
                  <c:v>-15.332205468411201</c:v>
                </c:pt>
                <c:pt idx="129">
                  <c:v>-15.511722576903853</c:v>
                </c:pt>
                <c:pt idx="130">
                  <c:v>-15.695861985317423</c:v>
                </c:pt>
                <c:pt idx="131">
                  <c:v>-15.884717764702263</c:v>
                </c:pt>
                <c:pt idx="132">
                  <c:v>-16.078389773959294</c:v>
                </c:pt>
                <c:pt idx="133">
                  <c:v>-16.276984058423487</c:v>
                </c:pt>
                <c:pt idx="134">
                  <c:v>-16.480613288613004</c:v>
                </c:pt>
                <c:pt idx="135">
                  <c:v>-16.689397244059869</c:v>
                </c:pt>
                <c:pt idx="136">
                  <c:v>-16.903463347874773</c:v>
                </c:pt>
                <c:pt idx="137">
                  <c:v>-17.122947258566956</c:v>
                </c:pt>
                <c:pt idx="138">
                  <c:v>-17.347993526665174</c:v>
                </c:pt>
                <c:pt idx="139">
                  <c:v>-17.578756324901562</c:v>
                </c:pt>
                <c:pt idx="140">
                  <c:v>-17.815400262167394</c:v>
                </c:pt>
                <c:pt idx="141">
                  <c:v>-18.05810129318002</c:v>
                </c:pt>
                <c:pt idx="142">
                  <c:v>-18.307047737878474</c:v>
                </c:pt>
                <c:pt idx="143">
                  <c:v>-18.562441427071633</c:v>
                </c:pt>
                <c:pt idx="144">
                  <c:v>-18.824498993902644</c:v>
                </c:pt>
                <c:pt idx="145">
                  <c:v>-19.093453334395967</c:v>
                </c:pt>
                <c:pt idx="146">
                  <c:v>-19.369555264891968</c:v>
                </c:pt>
                <c:pt idx="147">
                  <c:v>-19.653075409764142</c:v>
                </c:pt>
                <c:pt idx="148">
                  <c:v>-19.944306359745891</c:v>
                </c:pt>
                <c:pt idx="149">
                  <c:v>-20.243565149842325</c:v>
                </c:pt>
                <c:pt idx="150">
                  <c:v>-20.551196116664347</c:v>
                </c:pt>
                <c:pt idx="151">
                  <c:v>-20.867574208770534</c:v>
                </c:pt>
                <c:pt idx="152">
                  <c:v>-21.193108841126129</c:v>
                </c:pt>
                <c:pt idx="153">
                  <c:v>-21.528248407324323</c:v>
                </c:pt>
                <c:pt idx="154">
                  <c:v>-21.873485592439245</c:v>
                </c:pt>
                <c:pt idx="155">
                  <c:v>-22.22936366764775</c:v>
                </c:pt>
                <c:pt idx="156">
                  <c:v>-22.596483998372857</c:v>
                </c:pt>
                <c:pt idx="157">
                  <c:v>-22.975515065393758</c:v>
                </c:pt>
                <c:pt idx="158">
                  <c:v>-23.367203389973191</c:v>
                </c:pt>
                <c:pt idx="159">
                  <c:v>-23.772386879636795</c:v>
                </c:pt>
                <c:pt idx="160">
                  <c:v>-24.192011285836784</c:v>
                </c:pt>
                <c:pt idx="161">
                  <c:v>-24.627150711236901</c:v>
                </c:pt>
                <c:pt idx="162">
                  <c:v>-25.079033458324371</c:v>
                </c:pt>
                <c:pt idx="163">
                  <c:v>-25.549075028905097</c:v>
                </c:pt>
                <c:pt idx="164">
                  <c:v>-26.038920857537839</c:v>
                </c:pt>
                <c:pt idx="165">
                  <c:v>-26.550502544391431</c:v>
                </c:pt>
                <c:pt idx="166">
                  <c:v>-27.086113208295785</c:v>
                </c:pt>
                <c:pt idx="167">
                  <c:v>-27.648510579114561</c:v>
                </c:pt>
                <c:pt idx="168">
                  <c:v>-28.241061460889714</c:v>
                </c:pt>
                <c:pt idx="169">
                  <c:v>-28.867949910296861</c:v>
                </c:pt>
                <c:pt idx="170">
                  <c:v>-29.534487330360559</c:v>
                </c:pt>
                <c:pt idx="171">
                  <c:v>-30.247593143996109</c:v>
                </c:pt>
                <c:pt idx="172">
                  <c:v>-31.016577228031256</c:v>
                </c:pt>
                <c:pt idx="173">
                  <c:v>-31.85449447314997</c:v>
                </c:pt>
                <c:pt idx="174">
                  <c:v>-32.780685727368237</c:v>
                </c:pt>
                <c:pt idx="175">
                  <c:v>-33.826095646917587</c:v>
                </c:pt>
                <c:pt idx="176">
                  <c:v>-35.046335099556416</c:v>
                </c:pt>
                <c:pt idx="177">
                  <c:v>-36.563467647748539</c:v>
                </c:pt>
                <c:pt idx="178">
                  <c:v>-38.805608548593121</c:v>
                </c:pt>
                <c:pt idx="179">
                  <c:v>-40.984426235633109</c:v>
                </c:pt>
                <c:pt idx="180">
                  <c:v>-40.984426235633109</c:v>
                </c:pt>
                <c:pt idx="181">
                  <c:v>-40.984426235633109</c:v>
                </c:pt>
                <c:pt idx="182">
                  <c:v>-40.984426235633109</c:v>
                </c:pt>
                <c:pt idx="183">
                  <c:v>-40.984426235633109</c:v>
                </c:pt>
                <c:pt idx="184">
                  <c:v>-40.984426235633109</c:v>
                </c:pt>
                <c:pt idx="185">
                  <c:v>-40.984426235633109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7899-5649-96E2-64AEA5682F16}"/>
            </c:ext>
          </c:extLst>
        </c:ser>
        <c:ser>
          <c:idx val="3"/>
          <c:order val="3"/>
          <c:spPr>
            <a:ln w="25400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-42.70997502370404</c:v>
                </c:pt>
                <c:pt idx="1">
                  <c:v>-42.70997502370404</c:v>
                </c:pt>
                <c:pt idx="2">
                  <c:v>-45.63556292121072</c:v>
                </c:pt>
                <c:pt idx="3">
                  <c:v>-48.348637973405395</c:v>
                </c:pt>
                <c:pt idx="4">
                  <c:v>-50.197116604302344</c:v>
                </c:pt>
                <c:pt idx="5">
                  <c:v>-51.676931434404487</c:v>
                </c:pt>
                <c:pt idx="6">
                  <c:v>-52.935890783085227</c:v>
                </c:pt>
                <c:pt idx="7">
                  <c:v>-54.042507757042387</c:v>
                </c:pt>
                <c:pt idx="8">
                  <c:v>-55.035326908245118</c:v>
                </c:pt>
                <c:pt idx="9">
                  <c:v>-55.938640761427493</c:v>
                </c:pt>
                <c:pt idx="10">
                  <c:v>-56.768961093607174</c:v>
                </c:pt>
                <c:pt idx="11">
                  <c:v>-57.538135617689434</c:v>
                </c:pt>
                <c:pt idx="12">
                  <c:v>-58.255019601853881</c:v>
                </c:pt>
                <c:pt idx="13">
                  <c:v>-58.926446242404211</c:v>
                </c:pt>
                <c:pt idx="14">
                  <c:v>-59.557825310913046</c:v>
                </c:pt>
                <c:pt idx="15">
                  <c:v>-60.15353078715809</c:v>
                </c:pt>
                <c:pt idx="16">
                  <c:v>-60.717161961310374</c:v>
                </c:pt>
                <c:pt idx="17">
                  <c:v>-61.251725178197454</c:v>
                </c:pt>
                <c:pt idx="18">
                  <c:v>-61.759763905184897</c:v>
                </c:pt>
                <c:pt idx="19">
                  <c:v>-62.243454059214002</c:v>
                </c:pt>
                <c:pt idx="20">
                  <c:v>-62.704675328937427</c:v>
                </c:pt>
                <c:pt idx="21">
                  <c:v>-63.145065509726372</c:v>
                </c:pt>
                <c:pt idx="22">
                  <c:v>-63.566062563226815</c:v>
                </c:pt>
                <c:pt idx="23">
                  <c:v>-63.968937640224269</c:v>
                </c:pt>
                <c:pt idx="24">
                  <c:v>-64.354821340119074</c:v>
                </c:pt>
                <c:pt idx="25">
                  <c:v>-64.724724832732974</c:v>
                </c:pt>
                <c:pt idx="26">
                  <c:v>-65.079557024743778</c:v>
                </c:pt>
                <c:pt idx="27">
                  <c:v>-65.420138643726901</c:v>
                </c:pt>
                <c:pt idx="28">
                  <c:v>-65.747213893339975</c:v>
                </c:pt>
                <c:pt idx="29">
                  <c:v>-66.061460175110895</c:v>
                </c:pt>
                <c:pt idx="30">
                  <c:v>-66.363496256809057</c:v>
                </c:pt>
                <c:pt idx="31">
                  <c:v>-66.653889181925749</c:v>
                </c:pt>
                <c:pt idx="32">
                  <c:v>-66.933160150803133</c:v>
                </c:pt>
                <c:pt idx="33">
                  <c:v>-67.201789555512335</c:v>
                </c:pt>
                <c:pt idx="34">
                  <c:v>-67.460221313537488</c:v>
                </c:pt>
                <c:pt idx="35">
                  <c:v>-67.708866616723583</c:v>
                </c:pt>
                <c:pt idx="36">
                  <c:v>-67.948107189677174</c:v>
                </c:pt>
                <c:pt idx="37">
                  <c:v>-68.178298134318325</c:v>
                </c:pt>
                <c:pt idx="38">
                  <c:v>-68.39977042344529</c:v>
                </c:pt>
                <c:pt idx="39">
                  <c:v>-68.612833095144424</c:v>
                </c:pt>
                <c:pt idx="40">
                  <c:v>-68.817775191026655</c:v>
                </c:pt>
                <c:pt idx="41">
                  <c:v>-69.014867474125538</c:v>
                </c:pt>
                <c:pt idx="42">
                  <c:v>-69.204363956483803</c:v>
                </c:pt>
                <c:pt idx="43">
                  <c:v>-69.386503261711283</c:v>
                </c:pt>
                <c:pt idx="44">
                  <c:v>-69.561509843897113</c:v>
                </c:pt>
                <c:pt idx="45">
                  <c:v>-69.729595081042078</c:v>
                </c:pt>
                <c:pt idx="46">
                  <c:v>-69.890958258503048</c:v>
                </c:pt>
                <c:pt idx="47">
                  <c:v>-70.045787455717388</c:v>
                </c:pt>
                <c:pt idx="48">
                  <c:v>-70.194260347607567</c:v>
                </c:pt>
                <c:pt idx="49">
                  <c:v>-70.336544930500921</c:v>
                </c:pt>
                <c:pt idx="50">
                  <c:v>-70.47280018107368</c:v>
                </c:pt>
                <c:pt idx="51">
                  <c:v>-70.603176655707912</c:v>
                </c:pt>
                <c:pt idx="52">
                  <c:v>-70.727817036694915</c:v>
                </c:pt>
                <c:pt idx="53">
                  <c:v>-70.846856630904881</c:v>
                </c:pt>
                <c:pt idx="54">
                  <c:v>-70.960423825843733</c:v>
                </c:pt>
                <c:pt idx="55">
                  <c:v>-71.068640507420426</c:v>
                </c:pt>
                <c:pt idx="56">
                  <c:v>-71.171622443228969</c:v>
                </c:pt>
                <c:pt idx="57">
                  <c:v>-71.269479634705561</c:v>
                </c:pt>
                <c:pt idx="58">
                  <c:v>-71.362316641130477</c:v>
                </c:pt>
                <c:pt idx="59">
                  <c:v>-71.450232878111436</c:v>
                </c:pt>
                <c:pt idx="60">
                  <c:v>-71.533322892888165</c:v>
                </c:pt>
                <c:pt idx="61">
                  <c:v>-71.611676618543441</c:v>
                </c:pt>
                <c:pt idx="62">
                  <c:v>-71.685379608980369</c:v>
                </c:pt>
                <c:pt idx="63">
                  <c:v>-71.754513256327769</c:v>
                </c:pt>
                <c:pt idx="64">
                  <c:v>-71.819154992262014</c:v>
                </c:pt>
                <c:pt idx="65">
                  <c:v>-71.879378474580534</c:v>
                </c:pt>
                <c:pt idx="66">
                  <c:v>-71.935253760224938</c:v>
                </c:pt>
                <c:pt idx="67">
                  <c:v>-71.986847465833122</c:v>
                </c:pt>
                <c:pt idx="68">
                  <c:v>-72.034222916791194</c:v>
                </c:pt>
                <c:pt idx="69">
                  <c:v>-72.077440285661879</c:v>
                </c:pt>
                <c:pt idx="70">
                  <c:v>-72.116556720779812</c:v>
                </c:pt>
                <c:pt idx="71">
                  <c:v>-72.151626465729748</c:v>
                </c:pt>
                <c:pt idx="72">
                  <c:v>-72.18270097035311</c:v>
                </c:pt>
                <c:pt idx="73">
                  <c:v>-72.209828993869721</c:v>
                </c:pt>
                <c:pt idx="74">
                  <c:v>-72.233056700643814</c:v>
                </c:pt>
                <c:pt idx="75">
                  <c:v>-72.252427749076318</c:v>
                </c:pt>
                <c:pt idx="76">
                  <c:v>-72.267983374056939</c:v>
                </c:pt>
                <c:pt idx="77">
                  <c:v>-72.279762463372478</c:v>
                </c:pt>
                <c:pt idx="78">
                  <c:v>-72.287801628427701</c:v>
                </c:pt>
                <c:pt idx="79">
                  <c:v>-72.292135269602511</c:v>
                </c:pt>
                <c:pt idx="80">
                  <c:v>-72.292795636538244</c:v>
                </c:pt>
                <c:pt idx="81">
                  <c:v>-72.289812883616875</c:v>
                </c:pt>
                <c:pt idx="82">
                  <c:v>-72.283215120871432</c:v>
                </c:pt>
                <c:pt idx="83">
                  <c:v>-72.273028460541028</c:v>
                </c:pt>
                <c:pt idx="84">
                  <c:v>-72.259277059462221</c:v>
                </c:pt>
                <c:pt idx="85">
                  <c:v>-72.241983157467132</c:v>
                </c:pt>
                <c:pt idx="86">
                  <c:v>-72.221167111939209</c:v>
                </c:pt>
                <c:pt idx="87">
                  <c:v>-72.196847428659396</c:v>
                </c:pt>
                <c:pt idx="88">
                  <c:v>-72.169040789058101</c:v>
                </c:pt>
                <c:pt idx="89">
                  <c:v>-72.137762073971359</c:v>
                </c:pt>
                <c:pt idx="90">
                  <c:v>-72.103024383984945</c:v>
                </c:pt>
                <c:pt idx="91">
                  <c:v>-72.064839056433243</c:v>
                </c:pt>
                <c:pt idx="92">
                  <c:v>-72.023215679107238</c:v>
                </c:pt>
                <c:pt idx="93">
                  <c:v>-71.978162100709113</c:v>
                </c:pt>
                <c:pt idx="94">
                  <c:v>-71.929684438079065</c:v>
                </c:pt>
                <c:pt idx="95">
                  <c:v>-71.877787080203987</c:v>
                </c:pt>
                <c:pt idx="96">
                  <c:v>-71.822472689005153</c:v>
                </c:pt>
                <c:pt idx="97">
                  <c:v>-71.763742196887023</c:v>
                </c:pt>
                <c:pt idx="98">
                  <c:v>-71.70159480101492</c:v>
                </c:pt>
                <c:pt idx="99">
                  <c:v>-71.636027954275221</c:v>
                </c:pt>
                <c:pt idx="100">
                  <c:v>-71.567037352855692</c:v>
                </c:pt>
                <c:pt idx="101">
                  <c:v>-71.494616920368955</c:v>
                </c:pt>
                <c:pt idx="102">
                  <c:v>-71.418758788424043</c:v>
                </c:pt>
                <c:pt idx="103">
                  <c:v>-71.339453273535383</c:v>
                </c:pt>
                <c:pt idx="104">
                  <c:v>-71.25668885023876</c:v>
                </c:pt>
                <c:pt idx="105">
                  <c:v>-71.170452120264699</c:v>
                </c:pt>
                <c:pt idx="106">
                  <c:v>-71.080727777599165</c:v>
                </c:pt>
                <c:pt idx="107">
                  <c:v>-70.987498569238085</c:v>
                </c:pt>
                <c:pt idx="108">
                  <c:v>-70.89074525141784</c:v>
                </c:pt>
                <c:pt idx="109">
                  <c:v>-70.79044654107831</c:v>
                </c:pt>
                <c:pt idx="110">
                  <c:v>-70.686579062284466</c:v>
                </c:pt>
                <c:pt idx="111">
                  <c:v>-70.579117287301855</c:v>
                </c:pt>
                <c:pt idx="112">
                  <c:v>-70.468033471986786</c:v>
                </c:pt>
                <c:pt idx="113">
                  <c:v>-70.35329758511179</c:v>
                </c:pt>
                <c:pt idx="114">
                  <c:v>-70.234877231207278</c:v>
                </c:pt>
                <c:pt idx="115">
                  <c:v>-70.112737566450505</c:v>
                </c:pt>
                <c:pt idx="116">
                  <c:v>-69.986841207082733</c:v>
                </c:pt>
                <c:pt idx="117">
                  <c:v>-69.857148129776178</c:v>
                </c:pt>
                <c:pt idx="118">
                  <c:v>-69.723615563307433</c:v>
                </c:pt>
                <c:pt idx="119">
                  <c:v>-69.58619787082165</c:v>
                </c:pt>
                <c:pt idx="120">
                  <c:v>-69.444846421889466</c:v>
                </c:pt>
                <c:pt idx="121">
                  <c:v>-69.299509453466698</c:v>
                </c:pt>
                <c:pt idx="122">
                  <c:v>-69.150131918763506</c:v>
                </c:pt>
                <c:pt idx="123">
                  <c:v>-68.996655322911508</c:v>
                </c:pt>
                <c:pt idx="124">
                  <c:v>-68.839017544185197</c:v>
                </c:pt>
                <c:pt idx="125">
                  <c:v>-68.677152639382015</c:v>
                </c:pt>
                <c:pt idx="126">
                  <c:v>-68.510990631793661</c:v>
                </c:pt>
                <c:pt idx="127">
                  <c:v>-68.340457280004813</c:v>
                </c:pt>
                <c:pt idx="128">
                  <c:v>-68.165473825529304</c:v>
                </c:pt>
                <c:pt idx="129">
                  <c:v>-67.985956717036643</c:v>
                </c:pt>
                <c:pt idx="130">
                  <c:v>-67.801817308623072</c:v>
                </c:pt>
                <c:pt idx="131">
                  <c:v>-67.612961529238234</c:v>
                </c:pt>
                <c:pt idx="132">
                  <c:v>-67.419289519981191</c:v>
                </c:pt>
                <c:pt idx="133">
                  <c:v>-67.220695235517013</c:v>
                </c:pt>
                <c:pt idx="134">
                  <c:v>-67.017066005327479</c:v>
                </c:pt>
                <c:pt idx="135">
                  <c:v>-66.808282049880631</c:v>
                </c:pt>
                <c:pt idx="136">
                  <c:v>-66.594215946065717</c:v>
                </c:pt>
                <c:pt idx="137">
                  <c:v>-66.37473203537354</c:v>
                </c:pt>
                <c:pt idx="138">
                  <c:v>-66.149685767275315</c:v>
                </c:pt>
                <c:pt idx="139">
                  <c:v>-65.918922969038945</c:v>
                </c:pt>
                <c:pt idx="140">
                  <c:v>-65.682279031773092</c:v>
                </c:pt>
                <c:pt idx="141">
                  <c:v>-65.439578000760463</c:v>
                </c:pt>
                <c:pt idx="142">
                  <c:v>-65.190631556062016</c:v>
                </c:pt>
                <c:pt idx="143">
                  <c:v>-64.93523786686886</c:v>
                </c:pt>
                <c:pt idx="144">
                  <c:v>-64.673180300037856</c:v>
                </c:pt>
                <c:pt idx="145">
                  <c:v>-64.404225959544519</c:v>
                </c:pt>
                <c:pt idx="146">
                  <c:v>-64.128124029048536</c:v>
                </c:pt>
                <c:pt idx="147">
                  <c:v>-63.844603884176344</c:v>
                </c:pt>
                <c:pt idx="148">
                  <c:v>-63.553372934194599</c:v>
                </c:pt>
                <c:pt idx="149">
                  <c:v>-63.254114144098175</c:v>
                </c:pt>
                <c:pt idx="150">
                  <c:v>-62.946483177276143</c:v>
                </c:pt>
                <c:pt idx="151">
                  <c:v>-62.630105085169966</c:v>
                </c:pt>
                <c:pt idx="152">
                  <c:v>-62.304570452814367</c:v>
                </c:pt>
                <c:pt idx="153">
                  <c:v>-61.96943088661618</c:v>
                </c:pt>
                <c:pt idx="154">
                  <c:v>-61.624193701501255</c:v>
                </c:pt>
                <c:pt idx="155">
                  <c:v>-61.268315626292754</c:v>
                </c:pt>
                <c:pt idx="156">
                  <c:v>-60.901195295567646</c:v>
                </c:pt>
                <c:pt idx="157">
                  <c:v>-60.522164228546728</c:v>
                </c:pt>
                <c:pt idx="158">
                  <c:v>-60.130475903967302</c:v>
                </c:pt>
                <c:pt idx="159">
                  <c:v>-59.725292414303695</c:v>
                </c:pt>
                <c:pt idx="160">
                  <c:v>-59.305668008103716</c:v>
                </c:pt>
                <c:pt idx="161">
                  <c:v>-58.870528582703599</c:v>
                </c:pt>
                <c:pt idx="162">
                  <c:v>-58.418645835616132</c:v>
                </c:pt>
                <c:pt idx="163">
                  <c:v>-57.948604265035399</c:v>
                </c:pt>
                <c:pt idx="164">
                  <c:v>-57.458758436402647</c:v>
                </c:pt>
                <c:pt idx="165">
                  <c:v>-56.947176749549065</c:v>
                </c:pt>
                <c:pt idx="166">
                  <c:v>-56.411566085644708</c:v>
                </c:pt>
                <c:pt idx="167">
                  <c:v>-55.849168714825936</c:v>
                </c:pt>
                <c:pt idx="168">
                  <c:v>-55.256617833050782</c:v>
                </c:pt>
                <c:pt idx="169">
                  <c:v>-54.629729383643635</c:v>
                </c:pt>
                <c:pt idx="170">
                  <c:v>-53.963191963579938</c:v>
                </c:pt>
                <c:pt idx="171">
                  <c:v>-53.250086149944387</c:v>
                </c:pt>
                <c:pt idx="172">
                  <c:v>-52.481102065909241</c:v>
                </c:pt>
                <c:pt idx="173">
                  <c:v>-51.643184820790523</c:v>
                </c:pt>
                <c:pt idx="174">
                  <c:v>-50.716993566572256</c:v>
                </c:pt>
                <c:pt idx="175">
                  <c:v>-49.671583647022906</c:v>
                </c:pt>
                <c:pt idx="176">
                  <c:v>-48.451344194384085</c:v>
                </c:pt>
                <c:pt idx="177">
                  <c:v>-46.934211646191955</c:v>
                </c:pt>
                <c:pt idx="178">
                  <c:v>-44.692070745347372</c:v>
                </c:pt>
                <c:pt idx="179">
                  <c:v>-42.513253058307384</c:v>
                </c:pt>
                <c:pt idx="180">
                  <c:v>-42.513253058307384</c:v>
                </c:pt>
                <c:pt idx="181">
                  <c:v>-42.513253058307384</c:v>
                </c:pt>
                <c:pt idx="182">
                  <c:v>-42.513253058307384</c:v>
                </c:pt>
                <c:pt idx="183">
                  <c:v>-42.513253058307384</c:v>
                </c:pt>
                <c:pt idx="184">
                  <c:v>-42.513253058307384</c:v>
                </c:pt>
                <c:pt idx="185">
                  <c:v>-42.513253058307384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899-5649-96E2-64AEA5682F16}"/>
            </c:ext>
          </c:extLst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10"/>
              <c:spPr>
                <a:noFill/>
                <a:ln w="19050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4445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7899-5649-96E2-64AEA5682F16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2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899-5649-96E2-64AEA5682F1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-12.663059250695477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  <c:pt idx="186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899-5649-96E2-64AEA5682F16}"/>
            </c:ext>
          </c:extLst>
        </c:ser>
        <c:ser>
          <c:idx val="5"/>
          <c:order val="5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7899-5649-96E2-64AEA5682F16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spPr>
              <a:ln w="1905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8-7899-5649-96E2-64AEA5682F16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8.6066052575746994</c:v>
                </c:pt>
                <c:pt idx="188" formatCode="0.00_ ;[Red]\-0.00\ ">
                  <c:v>-41.748839646970247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  <c:pt idx="186">
                  <c:v>34.738892287452941</c:v>
                </c:pt>
                <c:pt idx="187" formatCode="0.00_ ;[Red]\-0.00\ ">
                  <c:v>23.047685940581083</c:v>
                </c:pt>
                <c:pt idx="188" formatCode="0.00_ ;[Red]\-0.00\ ">
                  <c:v>23.057808087154509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7899-5649-96E2-64AEA5682F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45"/>
        <c:minorUnit val="15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FF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Standortgrafik!$O$18:$O$60</c:f>
              <c:numCache>
                <c:formatCode>0.00</c:formatCode>
                <c:ptCount val="43"/>
                <c:pt idx="0">
                  <c:v>-12.064819338177756</c:v>
                </c:pt>
                <c:pt idx="1">
                  <c:v>-12.08159686560748</c:v>
                </c:pt>
                <c:pt idx="2">
                  <c:v>-12.098312904216527</c:v>
                </c:pt>
                <c:pt idx="3">
                  <c:v>-12.114967648914217</c:v>
                </c:pt>
                <c:pt idx="4">
                  <c:v>-12.131561293353116</c:v>
                </c:pt>
                <c:pt idx="5">
                  <c:v>-12.148094029940296</c:v>
                </c:pt>
                <c:pt idx="6">
                  <c:v>-12.164566049847565</c:v>
                </c:pt>
                <c:pt idx="7">
                  <c:v>-12.180977543022834</c:v>
                </c:pt>
                <c:pt idx="8">
                  <c:v>-12.19732869820001</c:v>
                </c:pt>
                <c:pt idx="9">
                  <c:v>-12.213619702909966</c:v>
                </c:pt>
                <c:pt idx="10">
                  <c:v>-12.229850743490374</c:v>
                </c:pt>
                <c:pt idx="11">
                  <c:v>-12.246022005096393</c:v>
                </c:pt>
                <c:pt idx="12">
                  <c:v>-12.26213367171033</c:v>
                </c:pt>
                <c:pt idx="13">
                  <c:v>-12.27818592615165</c:v>
                </c:pt>
                <c:pt idx="14">
                  <c:v>-12.29417895008703</c:v>
                </c:pt>
                <c:pt idx="15">
                  <c:v>-12.310112924040084</c:v>
                </c:pt>
                <c:pt idx="16">
                  <c:v>-12.32598802740074</c:v>
                </c:pt>
                <c:pt idx="17">
                  <c:v>-12.341804438435076</c:v>
                </c:pt>
                <c:pt idx="18">
                  <c:v>-12.357562334294414</c:v>
                </c:pt>
                <c:pt idx="19">
                  <c:v>-12.373261891025038</c:v>
                </c:pt>
                <c:pt idx="20">
                  <c:v>-12.388903283576781</c:v>
                </c:pt>
                <c:pt idx="21">
                  <c:v>-12.404486685813026</c:v>
                </c:pt>
                <c:pt idx="22">
                  <c:v>-12.420012270518555</c:v>
                </c:pt>
                <c:pt idx="23">
                  <c:v>-12.435480209409604</c:v>
                </c:pt>
                <c:pt idx="24">
                  <c:v>-12.450890673142055</c:v>
                </c:pt>
                <c:pt idx="25">
                  <c:v>-12.466243831320128</c:v>
                </c:pt>
                <c:pt idx="26">
                  <c:v>-12.481539852505023</c:v>
                </c:pt>
                <c:pt idx="27">
                  <c:v>-12.496778904223902</c:v>
                </c:pt>
                <c:pt idx="28">
                  <c:v>-12.511961152977506</c:v>
                </c:pt>
                <c:pt idx="29">
                  <c:v>-12.527086764249191</c:v>
                </c:pt>
                <c:pt idx="30">
                  <c:v>-12.542155902512889</c:v>
                </c:pt>
                <c:pt idx="31">
                  <c:v>-12.557168731241177</c:v>
                </c:pt>
                <c:pt idx="32">
                  <c:v>-12.572125412913692</c:v>
                </c:pt>
                <c:pt idx="33">
                  <c:v>-12.587026109024578</c:v>
                </c:pt>
                <c:pt idx="34">
                  <c:v>-12.601870980090837</c:v>
                </c:pt>
                <c:pt idx="35">
                  <c:v>-12.616660185659896</c:v>
                </c:pt>
                <c:pt idx="36">
                  <c:v>-12.631393884317617</c:v>
                </c:pt>
                <c:pt idx="37">
                  <c:v>-12.646072233695463</c:v>
                </c:pt>
                <c:pt idx="38">
                  <c:v>-12.660695390478622</c:v>
                </c:pt>
                <c:pt idx="39">
                  <c:v>-12.675263510413004</c:v>
                </c:pt>
                <c:pt idx="40">
                  <c:v>-12.689776748312966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7F-7144-BF96-854D69D3C829}"/>
            </c:ext>
          </c:extLst>
        </c:ser>
        <c:ser>
          <c:idx val="0"/>
          <c:order val="1"/>
          <c:tx>
            <c:strRef>
              <c:f>Standortgrafik!$P$17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Standortgrafik!$P$18:$P$60</c:f>
              <c:numCache>
                <c:formatCode>0.00</c:formatCode>
                <c:ptCount val="43"/>
                <c:pt idx="0">
                  <c:v>-12.885620930824699</c:v>
                </c:pt>
                <c:pt idx="1">
                  <c:v>-12.875553617251843</c:v>
                </c:pt>
                <c:pt idx="2">
                  <c:v>-12.865522294698847</c:v>
                </c:pt>
                <c:pt idx="3">
                  <c:v>-12.855526894448769</c:v>
                </c:pt>
                <c:pt idx="4">
                  <c:v>-12.845567348072525</c:v>
                </c:pt>
                <c:pt idx="5">
                  <c:v>-12.83564358742758</c:v>
                </c:pt>
                <c:pt idx="6">
                  <c:v>-12.825755544656497</c:v>
                </c:pt>
                <c:pt idx="7">
                  <c:v>-12.815903152185401</c:v>
                </c:pt>
                <c:pt idx="8">
                  <c:v>-12.806086342722672</c:v>
                </c:pt>
                <c:pt idx="9">
                  <c:v>-12.796305049257409</c:v>
                </c:pt>
                <c:pt idx="10">
                  <c:v>-12.786559205058115</c:v>
                </c:pt>
                <c:pt idx="11">
                  <c:v>-12.776848743671207</c:v>
                </c:pt>
                <c:pt idx="12">
                  <c:v>-12.767173598919648</c:v>
                </c:pt>
                <c:pt idx="13">
                  <c:v>-12.757533704901606</c:v>
                </c:pt>
                <c:pt idx="14">
                  <c:v>-12.747928995989112</c:v>
                </c:pt>
                <c:pt idx="15">
                  <c:v>-12.738359406826545</c:v>
                </c:pt>
                <c:pt idx="16">
                  <c:v>-12.728824872329394</c:v>
                </c:pt>
                <c:pt idx="17">
                  <c:v>-12.719325327682938</c:v>
                </c:pt>
                <c:pt idx="18">
                  <c:v>-12.709860708340821</c:v>
                </c:pt>
                <c:pt idx="19">
                  <c:v>-12.700430950023783</c:v>
                </c:pt>
                <c:pt idx="20">
                  <c:v>-12.691035988718337</c:v>
                </c:pt>
                <c:pt idx="21">
                  <c:v>-12.681675760675441</c:v>
                </c:pt>
                <c:pt idx="22">
                  <c:v>-12.672350202409163</c:v>
                </c:pt>
                <c:pt idx="23">
                  <c:v>-12.663059250695561</c:v>
                </c:pt>
                <c:pt idx="24">
                  <c:v>-12.653802842571151</c:v>
                </c:pt>
                <c:pt idx="25">
                  <c:v>-12.644580915331847</c:v>
                </c:pt>
                <c:pt idx="26">
                  <c:v>-12.635393406531552</c:v>
                </c:pt>
                <c:pt idx="27">
                  <c:v>-12.626240253981008</c:v>
                </c:pt>
                <c:pt idx="28">
                  <c:v>-12.617121395746471</c:v>
                </c:pt>
                <c:pt idx="29">
                  <c:v>-12.608036770148511</c:v>
                </c:pt>
                <c:pt idx="30">
                  <c:v>-12.59898631576081</c:v>
                </c:pt>
                <c:pt idx="31">
                  <c:v>-12.58996997140887</c:v>
                </c:pt>
                <c:pt idx="32">
                  <c:v>-12.58098767616881</c:v>
                </c:pt>
                <c:pt idx="33">
                  <c:v>-12.57203936936626</c:v>
                </c:pt>
                <c:pt idx="34">
                  <c:v>-12.563124990575041</c:v>
                </c:pt>
                <c:pt idx="35">
                  <c:v>-12.554244479616008</c:v>
                </c:pt>
                <c:pt idx="36">
                  <c:v>-12.545397776555969</c:v>
                </c:pt>
                <c:pt idx="37">
                  <c:v>-12.53658482170632</c:v>
                </c:pt>
                <c:pt idx="38">
                  <c:v>-12.527805555622065</c:v>
                </c:pt>
                <c:pt idx="39">
                  <c:v>-12.51905991910057</c:v>
                </c:pt>
                <c:pt idx="40">
                  <c:v>-12.510347853180424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07F-7144-BF96-854D69D3C829}"/>
            </c:ext>
          </c:extLst>
        </c:ser>
        <c:ser>
          <c:idx val="1"/>
          <c:order val="2"/>
          <c:tx>
            <c:strRef>
              <c:f>Standortgrafik!$Q$17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Standortgrafik!$Q$18:$Q$60</c:f>
              <c:numCache>
                <c:formatCode>0.00</c:formatCode>
                <c:ptCount val="43"/>
                <c:pt idx="0">
                  <c:v>-12.297876809603849</c:v>
                </c:pt>
                <c:pt idx="1">
                  <c:v>-12.314404116100604</c:v>
                </c:pt>
                <c:pt idx="2">
                  <c:v>-12.330871074792583</c:v>
                </c:pt>
                <c:pt idx="3">
                  <c:v>-12.347277873486462</c:v>
                </c:pt>
                <c:pt idx="4">
                  <c:v>-12.363624698797366</c:v>
                </c:pt>
                <c:pt idx="5">
                  <c:v>-12.379911736159386</c:v>
                </c:pt>
                <c:pt idx="6">
                  <c:v>-12.396139169835294</c:v>
                </c:pt>
                <c:pt idx="7">
                  <c:v>-12.41230718292644</c:v>
                </c:pt>
                <c:pt idx="8">
                  <c:v>-12.428415957382981</c:v>
                </c:pt>
                <c:pt idx="9">
                  <c:v>-12.444465674013145</c:v>
                </c:pt>
                <c:pt idx="10">
                  <c:v>-12.460456512493124</c:v>
                </c:pt>
                <c:pt idx="11">
                  <c:v>-12.476388651376283</c:v>
                </c:pt>
                <c:pt idx="12">
                  <c:v>-12.492262268103048</c:v>
                </c:pt>
                <c:pt idx="13">
                  <c:v>-12.508077539009491</c:v>
                </c:pt>
                <c:pt idx="14">
                  <c:v>-12.523834639337281</c:v>
                </c:pt>
                <c:pt idx="15">
                  <c:v>-12.539533743242202</c:v>
                </c:pt>
                <c:pt idx="16">
                  <c:v>-12.555175023803201</c:v>
                </c:pt>
                <c:pt idx="17">
                  <c:v>-12.570758653031646</c:v>
                </c:pt>
                <c:pt idx="18">
                  <c:v>-12.586284801879742</c:v>
                </c:pt>
                <c:pt idx="19">
                  <c:v>-12.601753640249399</c:v>
                </c:pt>
                <c:pt idx="20">
                  <c:v>-12.617165337000472</c:v>
                </c:pt>
                <c:pt idx="21">
                  <c:v>-12.632520059960029</c:v>
                </c:pt>
                <c:pt idx="22">
                  <c:v>-12.647817975929854</c:v>
                </c:pt>
                <c:pt idx="23">
                  <c:v>-12.663059250695483</c:v>
                </c:pt>
                <c:pt idx="24">
                  <c:v>-12.678244049033935</c:v>
                </c:pt>
                <c:pt idx="25">
                  <c:v>-12.69337253472213</c:v>
                </c:pt>
                <c:pt idx="26">
                  <c:v>-12.708444870545065</c:v>
                </c:pt>
                <c:pt idx="27">
                  <c:v>-12.723461218303214</c:v>
                </c:pt>
                <c:pt idx="28">
                  <c:v>-12.738421738820932</c:v>
                </c:pt>
                <c:pt idx="29">
                  <c:v>-12.753326591954192</c:v>
                </c:pt>
                <c:pt idx="30">
                  <c:v>-12.768175936598084</c:v>
                </c:pt>
                <c:pt idx="31">
                  <c:v>-12.782969930694605</c:v>
                </c:pt>
                <c:pt idx="32">
                  <c:v>-12.797708731239993</c:v>
                </c:pt>
                <c:pt idx="33">
                  <c:v>-12.812392494292624</c:v>
                </c:pt>
                <c:pt idx="34">
                  <c:v>-12.827021374979893</c:v>
                </c:pt>
                <c:pt idx="35">
                  <c:v>-12.841595527505888</c:v>
                </c:pt>
                <c:pt idx="36">
                  <c:v>-12.856115105158437</c:v>
                </c:pt>
                <c:pt idx="37">
                  <c:v>-12.870580260316501</c:v>
                </c:pt>
                <c:pt idx="38">
                  <c:v>-12.884991144456762</c:v>
                </c:pt>
                <c:pt idx="39">
                  <c:v>-12.899347908161303</c:v>
                </c:pt>
                <c:pt idx="40">
                  <c:v>-12.913650701123913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07F-7144-BF96-854D69D3C829}"/>
            </c:ext>
          </c:extLst>
        </c:ser>
        <c:ser>
          <c:idx val="2"/>
          <c:order val="3"/>
          <c:tx>
            <c:strRef>
              <c:f>Standortgrafik!$R$17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4-807F-7144-BF96-854D69D3C829}"/>
              </c:ext>
            </c:extLst>
          </c:dPt>
          <c:xVal>
            <c:numRef>
              <c:f>Standortgrafik!$R$18:$R$60</c:f>
              <c:numCache>
                <c:formatCode>General</c:formatCode>
                <c:ptCount val="43"/>
                <c:pt idx="41" formatCode="0.00">
                  <c:v>-12.346898285126883</c:v>
                </c:pt>
                <c:pt idx="42" formatCode="0.00">
                  <c:v>-12.663059250695477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07F-7144-BF96-854D69D3C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16660000000000003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16660000000000003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Standortgrafik!$O$18:$O$60</c:f>
              <c:numCache>
                <c:formatCode>0.00</c:formatCode>
                <c:ptCount val="43"/>
                <c:pt idx="0">
                  <c:v>-12.064819338177756</c:v>
                </c:pt>
                <c:pt idx="1">
                  <c:v>-12.08159686560748</c:v>
                </c:pt>
                <c:pt idx="2">
                  <c:v>-12.098312904216527</c:v>
                </c:pt>
                <c:pt idx="3">
                  <c:v>-12.114967648914217</c:v>
                </c:pt>
                <c:pt idx="4">
                  <c:v>-12.131561293353116</c:v>
                </c:pt>
                <c:pt idx="5">
                  <c:v>-12.148094029940296</c:v>
                </c:pt>
                <c:pt idx="6">
                  <c:v>-12.164566049847565</c:v>
                </c:pt>
                <c:pt idx="7">
                  <c:v>-12.180977543022834</c:v>
                </c:pt>
                <c:pt idx="8">
                  <c:v>-12.19732869820001</c:v>
                </c:pt>
                <c:pt idx="9">
                  <c:v>-12.213619702909966</c:v>
                </c:pt>
                <c:pt idx="10">
                  <c:v>-12.229850743490374</c:v>
                </c:pt>
                <c:pt idx="11">
                  <c:v>-12.246022005096393</c:v>
                </c:pt>
                <c:pt idx="12">
                  <c:v>-12.26213367171033</c:v>
                </c:pt>
                <c:pt idx="13">
                  <c:v>-12.27818592615165</c:v>
                </c:pt>
                <c:pt idx="14">
                  <c:v>-12.29417895008703</c:v>
                </c:pt>
                <c:pt idx="15">
                  <c:v>-12.310112924040084</c:v>
                </c:pt>
                <c:pt idx="16">
                  <c:v>-12.32598802740074</c:v>
                </c:pt>
                <c:pt idx="17">
                  <c:v>-12.341804438435076</c:v>
                </c:pt>
                <c:pt idx="18">
                  <c:v>-12.357562334294414</c:v>
                </c:pt>
                <c:pt idx="19">
                  <c:v>-12.373261891025038</c:v>
                </c:pt>
                <c:pt idx="20">
                  <c:v>-12.388903283576781</c:v>
                </c:pt>
                <c:pt idx="21">
                  <c:v>-12.404486685813026</c:v>
                </c:pt>
                <c:pt idx="22">
                  <c:v>-12.420012270518555</c:v>
                </c:pt>
                <c:pt idx="23">
                  <c:v>-12.435480209409604</c:v>
                </c:pt>
                <c:pt idx="24">
                  <c:v>-12.450890673142055</c:v>
                </c:pt>
                <c:pt idx="25">
                  <c:v>-12.466243831320128</c:v>
                </c:pt>
                <c:pt idx="26">
                  <c:v>-12.481539852505023</c:v>
                </c:pt>
                <c:pt idx="27">
                  <c:v>-12.496778904223902</c:v>
                </c:pt>
                <c:pt idx="28">
                  <c:v>-12.511961152977506</c:v>
                </c:pt>
                <c:pt idx="29">
                  <c:v>-12.527086764249191</c:v>
                </c:pt>
                <c:pt idx="30">
                  <c:v>-12.542155902512889</c:v>
                </c:pt>
                <c:pt idx="31">
                  <c:v>-12.557168731241177</c:v>
                </c:pt>
                <c:pt idx="32">
                  <c:v>-12.572125412913692</c:v>
                </c:pt>
                <c:pt idx="33">
                  <c:v>-12.587026109024578</c:v>
                </c:pt>
                <c:pt idx="34">
                  <c:v>-12.601870980090837</c:v>
                </c:pt>
                <c:pt idx="35">
                  <c:v>-12.616660185659896</c:v>
                </c:pt>
                <c:pt idx="36">
                  <c:v>-12.631393884317617</c:v>
                </c:pt>
                <c:pt idx="37">
                  <c:v>-12.646072233695463</c:v>
                </c:pt>
                <c:pt idx="38">
                  <c:v>-12.660695390478622</c:v>
                </c:pt>
                <c:pt idx="39">
                  <c:v>-12.675263510413004</c:v>
                </c:pt>
                <c:pt idx="40">
                  <c:v>-12.689776748312966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4B8-BA4B-B60E-1C15A8AB85BF}"/>
            </c:ext>
          </c:extLst>
        </c:ser>
        <c:ser>
          <c:idx val="0"/>
          <c:order val="1"/>
          <c:tx>
            <c:strRef>
              <c:f>Standortgrafik!$P$17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Standortgrafik!$P$18:$P$60</c:f>
              <c:numCache>
                <c:formatCode>0.00</c:formatCode>
                <c:ptCount val="43"/>
                <c:pt idx="0">
                  <c:v>-12.885620930824699</c:v>
                </c:pt>
                <c:pt idx="1">
                  <c:v>-12.875553617251843</c:v>
                </c:pt>
                <c:pt idx="2">
                  <c:v>-12.865522294698847</c:v>
                </c:pt>
                <c:pt idx="3">
                  <c:v>-12.855526894448769</c:v>
                </c:pt>
                <c:pt idx="4">
                  <c:v>-12.845567348072525</c:v>
                </c:pt>
                <c:pt idx="5">
                  <c:v>-12.83564358742758</c:v>
                </c:pt>
                <c:pt idx="6">
                  <c:v>-12.825755544656497</c:v>
                </c:pt>
                <c:pt idx="7">
                  <c:v>-12.815903152185401</c:v>
                </c:pt>
                <c:pt idx="8">
                  <c:v>-12.806086342722672</c:v>
                </c:pt>
                <c:pt idx="9">
                  <c:v>-12.796305049257409</c:v>
                </c:pt>
                <c:pt idx="10">
                  <c:v>-12.786559205058115</c:v>
                </c:pt>
                <c:pt idx="11">
                  <c:v>-12.776848743671207</c:v>
                </c:pt>
                <c:pt idx="12">
                  <c:v>-12.767173598919648</c:v>
                </c:pt>
                <c:pt idx="13">
                  <c:v>-12.757533704901606</c:v>
                </c:pt>
                <c:pt idx="14">
                  <c:v>-12.747928995989112</c:v>
                </c:pt>
                <c:pt idx="15">
                  <c:v>-12.738359406826545</c:v>
                </c:pt>
                <c:pt idx="16">
                  <c:v>-12.728824872329394</c:v>
                </c:pt>
                <c:pt idx="17">
                  <c:v>-12.719325327682938</c:v>
                </c:pt>
                <c:pt idx="18">
                  <c:v>-12.709860708340821</c:v>
                </c:pt>
                <c:pt idx="19">
                  <c:v>-12.700430950023783</c:v>
                </c:pt>
                <c:pt idx="20">
                  <c:v>-12.691035988718337</c:v>
                </c:pt>
                <c:pt idx="21">
                  <c:v>-12.681675760675441</c:v>
                </c:pt>
                <c:pt idx="22">
                  <c:v>-12.672350202409163</c:v>
                </c:pt>
                <c:pt idx="23">
                  <c:v>-12.663059250695561</c:v>
                </c:pt>
                <c:pt idx="24">
                  <c:v>-12.653802842571151</c:v>
                </c:pt>
                <c:pt idx="25">
                  <c:v>-12.644580915331847</c:v>
                </c:pt>
                <c:pt idx="26">
                  <c:v>-12.635393406531552</c:v>
                </c:pt>
                <c:pt idx="27">
                  <c:v>-12.626240253981008</c:v>
                </c:pt>
                <c:pt idx="28">
                  <c:v>-12.617121395746471</c:v>
                </c:pt>
                <c:pt idx="29">
                  <c:v>-12.608036770148511</c:v>
                </c:pt>
                <c:pt idx="30">
                  <c:v>-12.59898631576081</c:v>
                </c:pt>
                <c:pt idx="31">
                  <c:v>-12.58996997140887</c:v>
                </c:pt>
                <c:pt idx="32">
                  <c:v>-12.58098767616881</c:v>
                </c:pt>
                <c:pt idx="33">
                  <c:v>-12.57203936936626</c:v>
                </c:pt>
                <c:pt idx="34">
                  <c:v>-12.563124990575041</c:v>
                </c:pt>
                <c:pt idx="35">
                  <c:v>-12.554244479616008</c:v>
                </c:pt>
                <c:pt idx="36">
                  <c:v>-12.545397776555969</c:v>
                </c:pt>
                <c:pt idx="37">
                  <c:v>-12.53658482170632</c:v>
                </c:pt>
                <c:pt idx="38">
                  <c:v>-12.527805555622065</c:v>
                </c:pt>
                <c:pt idx="39">
                  <c:v>-12.51905991910057</c:v>
                </c:pt>
                <c:pt idx="40">
                  <c:v>-12.510347853180424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04B8-BA4B-B60E-1C15A8AB85BF}"/>
            </c:ext>
          </c:extLst>
        </c:ser>
        <c:ser>
          <c:idx val="1"/>
          <c:order val="2"/>
          <c:tx>
            <c:strRef>
              <c:f>Standortgrafik!$Q$17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Standortgrafik!$Q$18:$Q$60</c:f>
              <c:numCache>
                <c:formatCode>0.00</c:formatCode>
                <c:ptCount val="43"/>
                <c:pt idx="0">
                  <c:v>-12.297876809603849</c:v>
                </c:pt>
                <c:pt idx="1">
                  <c:v>-12.314404116100604</c:v>
                </c:pt>
                <c:pt idx="2">
                  <c:v>-12.330871074792583</c:v>
                </c:pt>
                <c:pt idx="3">
                  <c:v>-12.347277873486462</c:v>
                </c:pt>
                <c:pt idx="4">
                  <c:v>-12.363624698797366</c:v>
                </c:pt>
                <c:pt idx="5">
                  <c:v>-12.379911736159386</c:v>
                </c:pt>
                <c:pt idx="6">
                  <c:v>-12.396139169835294</c:v>
                </c:pt>
                <c:pt idx="7">
                  <c:v>-12.41230718292644</c:v>
                </c:pt>
                <c:pt idx="8">
                  <c:v>-12.428415957382981</c:v>
                </c:pt>
                <c:pt idx="9">
                  <c:v>-12.444465674013145</c:v>
                </c:pt>
                <c:pt idx="10">
                  <c:v>-12.460456512493124</c:v>
                </c:pt>
                <c:pt idx="11">
                  <c:v>-12.476388651376283</c:v>
                </c:pt>
                <c:pt idx="12">
                  <c:v>-12.492262268103048</c:v>
                </c:pt>
                <c:pt idx="13">
                  <c:v>-12.508077539009491</c:v>
                </c:pt>
                <c:pt idx="14">
                  <c:v>-12.523834639337281</c:v>
                </c:pt>
                <c:pt idx="15">
                  <c:v>-12.539533743242202</c:v>
                </c:pt>
                <c:pt idx="16">
                  <c:v>-12.555175023803201</c:v>
                </c:pt>
                <c:pt idx="17">
                  <c:v>-12.570758653031646</c:v>
                </c:pt>
                <c:pt idx="18">
                  <c:v>-12.586284801879742</c:v>
                </c:pt>
                <c:pt idx="19">
                  <c:v>-12.601753640249399</c:v>
                </c:pt>
                <c:pt idx="20">
                  <c:v>-12.617165337000472</c:v>
                </c:pt>
                <c:pt idx="21">
                  <c:v>-12.632520059960029</c:v>
                </c:pt>
                <c:pt idx="22">
                  <c:v>-12.647817975929854</c:v>
                </c:pt>
                <c:pt idx="23">
                  <c:v>-12.663059250695483</c:v>
                </c:pt>
                <c:pt idx="24">
                  <c:v>-12.678244049033935</c:v>
                </c:pt>
                <c:pt idx="25">
                  <c:v>-12.69337253472213</c:v>
                </c:pt>
                <c:pt idx="26">
                  <c:v>-12.708444870545065</c:v>
                </c:pt>
                <c:pt idx="27">
                  <c:v>-12.723461218303214</c:v>
                </c:pt>
                <c:pt idx="28">
                  <c:v>-12.738421738820932</c:v>
                </c:pt>
                <c:pt idx="29">
                  <c:v>-12.753326591954192</c:v>
                </c:pt>
                <c:pt idx="30">
                  <c:v>-12.768175936598084</c:v>
                </c:pt>
                <c:pt idx="31">
                  <c:v>-12.782969930694605</c:v>
                </c:pt>
                <c:pt idx="32">
                  <c:v>-12.797708731239993</c:v>
                </c:pt>
                <c:pt idx="33">
                  <c:v>-12.812392494292624</c:v>
                </c:pt>
                <c:pt idx="34">
                  <c:v>-12.827021374979893</c:v>
                </c:pt>
                <c:pt idx="35">
                  <c:v>-12.841595527505888</c:v>
                </c:pt>
                <c:pt idx="36">
                  <c:v>-12.856115105158437</c:v>
                </c:pt>
                <c:pt idx="37">
                  <c:v>-12.870580260316501</c:v>
                </c:pt>
                <c:pt idx="38">
                  <c:v>-12.884991144456762</c:v>
                </c:pt>
                <c:pt idx="39">
                  <c:v>-12.899347908161303</c:v>
                </c:pt>
                <c:pt idx="40">
                  <c:v>-12.913650701123913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04B8-BA4B-B60E-1C15A8AB85BF}"/>
            </c:ext>
          </c:extLst>
        </c:ser>
        <c:ser>
          <c:idx val="2"/>
          <c:order val="3"/>
          <c:tx>
            <c:strRef>
              <c:f>Standortgrafik!$R$17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D-04B8-BA4B-B60E-1C15A8AB85BF}"/>
              </c:ext>
            </c:extLst>
          </c:dPt>
          <c:xVal>
            <c:numRef>
              <c:f>Standortgrafik!$R$18:$R$60</c:f>
              <c:numCache>
                <c:formatCode>General</c:formatCode>
                <c:ptCount val="43"/>
                <c:pt idx="41" formatCode="0.00">
                  <c:v>-12.346898285126883</c:v>
                </c:pt>
                <c:pt idx="42" formatCode="0.00">
                  <c:v>-12.663059250695477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35.313892287452916</c:v>
                </c:pt>
                <c:pt idx="1">
                  <c:v>35.288892287452917</c:v>
                </c:pt>
                <c:pt idx="2">
                  <c:v>35.263892287452919</c:v>
                </c:pt>
                <c:pt idx="3">
                  <c:v>35.23889228745292</c:v>
                </c:pt>
                <c:pt idx="4">
                  <c:v>35.213892287452921</c:v>
                </c:pt>
                <c:pt idx="5">
                  <c:v>35.188892287452923</c:v>
                </c:pt>
                <c:pt idx="6">
                  <c:v>35.163892287452924</c:v>
                </c:pt>
                <c:pt idx="7">
                  <c:v>35.138892287452926</c:v>
                </c:pt>
                <c:pt idx="8">
                  <c:v>35.113892287452927</c:v>
                </c:pt>
                <c:pt idx="9">
                  <c:v>35.088892287452929</c:v>
                </c:pt>
                <c:pt idx="10">
                  <c:v>35.06389228745293</c:v>
                </c:pt>
                <c:pt idx="11">
                  <c:v>35.038892287452931</c:v>
                </c:pt>
                <c:pt idx="12">
                  <c:v>35.013892287452933</c:v>
                </c:pt>
                <c:pt idx="13">
                  <c:v>34.988892287452934</c:v>
                </c:pt>
                <c:pt idx="14">
                  <c:v>34.963892287452936</c:v>
                </c:pt>
                <c:pt idx="15">
                  <c:v>34.938892287452937</c:v>
                </c:pt>
                <c:pt idx="16">
                  <c:v>34.913892287452938</c:v>
                </c:pt>
                <c:pt idx="17">
                  <c:v>34.88889228745294</c:v>
                </c:pt>
                <c:pt idx="18">
                  <c:v>34.863892287452941</c:v>
                </c:pt>
                <c:pt idx="19">
                  <c:v>34.838892287452943</c:v>
                </c:pt>
                <c:pt idx="20">
                  <c:v>34.813892287452944</c:v>
                </c:pt>
                <c:pt idx="21">
                  <c:v>34.788892287452946</c:v>
                </c:pt>
                <c:pt idx="22">
                  <c:v>34.763892287452947</c:v>
                </c:pt>
                <c:pt idx="23">
                  <c:v>34.738892287452948</c:v>
                </c:pt>
                <c:pt idx="24">
                  <c:v>34.71389228745295</c:v>
                </c:pt>
                <c:pt idx="25">
                  <c:v>34.688892287452951</c:v>
                </c:pt>
                <c:pt idx="26">
                  <c:v>34.663892287452953</c:v>
                </c:pt>
                <c:pt idx="27">
                  <c:v>34.638892287452954</c:v>
                </c:pt>
                <c:pt idx="28">
                  <c:v>34.613892287452956</c:v>
                </c:pt>
                <c:pt idx="29">
                  <c:v>34.588892287452957</c:v>
                </c:pt>
                <c:pt idx="30">
                  <c:v>34.563892287452958</c:v>
                </c:pt>
                <c:pt idx="31">
                  <c:v>34.53889228745296</c:v>
                </c:pt>
                <c:pt idx="32">
                  <c:v>34.513892287452961</c:v>
                </c:pt>
                <c:pt idx="33">
                  <c:v>34.488892287452963</c:v>
                </c:pt>
                <c:pt idx="34">
                  <c:v>34.463892287452964</c:v>
                </c:pt>
                <c:pt idx="35">
                  <c:v>34.438892287452965</c:v>
                </c:pt>
                <c:pt idx="36">
                  <c:v>34.413892287452967</c:v>
                </c:pt>
                <c:pt idx="37">
                  <c:v>34.388892287452968</c:v>
                </c:pt>
                <c:pt idx="38">
                  <c:v>34.36389228745297</c:v>
                </c:pt>
                <c:pt idx="39">
                  <c:v>34.338892287452971</c:v>
                </c:pt>
                <c:pt idx="40">
                  <c:v>34.313892287452973</c:v>
                </c:pt>
                <c:pt idx="41">
                  <c:v>34.88889228745294</c:v>
                </c:pt>
                <c:pt idx="42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04B8-BA4B-B60E-1C15A8AB8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16660000000000003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16660000000000003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882708810334875E-2"/>
          <c:y val="1.6340839581893335E-2"/>
          <c:w val="0.86166452597680609"/>
          <c:h val="0.96264283025484187"/>
        </c:manualLayout>
      </c:layout>
      <c:scatterChart>
        <c:scatterStyle val="smoothMarker"/>
        <c:varyColors val="0"/>
        <c:ser>
          <c:idx val="0"/>
          <c:order val="0"/>
          <c:tx>
            <c:v>lamda 1s</c:v>
          </c:tx>
          <c:spPr>
            <a:ln w="1905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9.3186410888171736</c:v>
                </c:pt>
                <c:pt idx="22">
                  <c:v>13.160344528683765</c:v>
                </c:pt>
                <c:pt idx="23">
                  <c:v>14.969742238895662</c:v>
                </c:pt>
                <c:pt idx="24">
                  <c:v>16.33794404191292</c:v>
                </c:pt>
                <c:pt idx="25">
                  <c:v>17.472060693531205</c:v>
                </c:pt>
                <c:pt idx="26">
                  <c:v>18.453682129903768</c:v>
                </c:pt>
                <c:pt idx="27">
                  <c:v>19.3251216405219</c:v>
                </c:pt>
                <c:pt idx="28">
                  <c:v>20.111745823356046</c:v>
                </c:pt>
                <c:pt idx="29">
                  <c:v>20.830217493644057</c:v>
                </c:pt>
                <c:pt idx="30">
                  <c:v>21.492198415666849</c:v>
                </c:pt>
                <c:pt idx="31">
                  <c:v>22.106240402883373</c:v>
                </c:pt>
                <c:pt idx="32">
                  <c:v>22.678843771395748</c:v>
                </c:pt>
                <c:pt idx="33">
                  <c:v>23.215092077184011</c:v>
                </c:pt>
                <c:pt idx="34">
                  <c:v>23.719053890636587</c:v>
                </c:pt>
                <c:pt idx="35">
                  <c:v>24.194048430172131</c:v>
                </c:pt>
                <c:pt idx="36">
                  <c:v>24.642827603701789</c:v>
                </c:pt>
                <c:pt idx="37">
                  <c:v>25.067704577630991</c:v>
                </c:pt>
                <c:pt idx="38">
                  <c:v>25.470646939116193</c:v>
                </c:pt>
                <c:pt idx="39">
                  <c:v>25.853345711605641</c:v>
                </c:pt>
                <c:pt idx="40">
                  <c:v>26.217267476914969</c:v>
                </c:pt>
                <c:pt idx="41">
                  <c:v>26.563694411593474</c:v>
                </c:pt>
                <c:pt idx="42">
                  <c:v>26.893755505229251</c:v>
                </c:pt>
                <c:pt idx="43">
                  <c:v>27.20845123133256</c:v>
                </c:pt>
                <c:pt idx="44">
                  <c:v>27.508673280068365</c:v>
                </c:pt>
                <c:pt idx="45">
                  <c:v>27.795220513726122</c:v>
                </c:pt>
                <c:pt idx="46">
                  <c:v>28.068811995828241</c:v>
                </c:pt>
                <c:pt idx="47">
                  <c:v>28.330097726645818</c:v>
                </c:pt>
                <c:pt idx="48">
                  <c:v>28.579667561916381</c:v>
                </c:pt>
                <c:pt idx="49">
                  <c:v>28.818058678381362</c:v>
                </c:pt>
                <c:pt idx="50">
                  <c:v>29.045761866535827</c:v>
                </c:pt>
                <c:pt idx="51">
                  <c:v>29.26322686901716</c:v>
                </c:pt>
                <c:pt idx="52">
                  <c:v>29.470866936401364</c:v>
                </c:pt>
                <c:pt idx="53">
                  <c:v>29.669062736668764</c:v>
                </c:pt>
                <c:pt idx="54">
                  <c:v>29.858165727312041</c:v>
                </c:pt>
                <c:pt idx="55">
                  <c:v>30.038501077902197</c:v>
                </c:pt>
                <c:pt idx="56">
                  <c:v>30.210370214377008</c:v>
                </c:pt>
                <c:pt idx="57">
                  <c:v>30.374053043271772</c:v>
                </c:pt>
                <c:pt idx="58">
                  <c:v>30.529809903746923</c:v>
                </c:pt>
                <c:pt idx="59">
                  <c:v>30.677883286982933</c:v>
                </c:pt>
                <c:pt idx="60">
                  <c:v>30.818499355838981</c:v>
                </c:pt>
                <c:pt idx="61">
                  <c:v>30.95186929226378</c:v>
                </c:pt>
                <c:pt idx="62">
                  <c:v>31.078190495546039</c:v>
                </c:pt>
                <c:pt idx="63">
                  <c:v>31.197647650877741</c:v>
                </c:pt>
                <c:pt idx="64">
                  <c:v>31.310413684733021</c:v>
                </c:pt>
                <c:pt idx="65">
                  <c:v>31.416650621098483</c:v>
                </c:pt>
                <c:pt idx="66">
                  <c:v>31.51651035054681</c:v>
                </c:pt>
                <c:pt idx="67">
                  <c:v>31.610135322429983</c:v>
                </c:pt>
                <c:pt idx="68">
                  <c:v>31.69765916903043</c:v>
                </c:pt>
                <c:pt idx="69">
                  <c:v>31.779207269299491</c:v>
                </c:pt>
                <c:pt idx="70">
                  <c:v>31.854897258783694</c:v>
                </c:pt>
                <c:pt idx="71">
                  <c:v>31.924839491468106</c:v>
                </c:pt>
                <c:pt idx="72">
                  <c:v>31.98913745852434</c:v>
                </c:pt>
                <c:pt idx="73">
                  <c:v>32.047888168310237</c:v>
                </c:pt>
                <c:pt idx="74">
                  <c:v>32.101182491424083</c:v>
                </c:pt>
                <c:pt idx="75">
                  <c:v>32.149105474142232</c:v>
                </c:pt>
                <c:pt idx="76">
                  <c:v>32.191736623160352</c:v>
                </c:pt>
                <c:pt idx="77">
                  <c:v>32.229150164204725</c:v>
                </c:pt>
                <c:pt idx="78">
                  <c:v>32.261415276767707</c:v>
                </c:pt>
                <c:pt idx="79">
                  <c:v>32.288596306951945</c:v>
                </c:pt>
                <c:pt idx="80">
                  <c:v>32.310752960170475</c:v>
                </c:pt>
                <c:pt idx="81">
                  <c:v>32.327940475235607</c:v>
                </c:pt>
                <c:pt idx="82">
                  <c:v>32.340209781187411</c:v>
                </c:pt>
                <c:pt idx="83">
                  <c:v>32.347607638043314</c:v>
                </c:pt>
                <c:pt idx="84">
                  <c:v>32.350176762501633</c:v>
                </c:pt>
                <c:pt idx="85">
                  <c:v>32.34795593949957</c:v>
                </c:pt>
                <c:pt idx="86">
                  <c:v>32.340980120402094</c:v>
                </c:pt>
                <c:pt idx="87">
                  <c:v>32.329280508488353</c:v>
                </c:pt>
                <c:pt idx="88">
                  <c:v>32.312884632299983</c:v>
                </c:pt>
                <c:pt idx="89">
                  <c:v>32.291816407320141</c:v>
                </c:pt>
                <c:pt idx="90">
                  <c:v>32.266096186362915</c:v>
                </c:pt>
                <c:pt idx="91">
                  <c:v>32.235740798969744</c:v>
                </c:pt>
                <c:pt idx="92">
                  <c:v>32.200763580026376</c:v>
                </c:pt>
                <c:pt idx="93">
                  <c:v>32.161174387737844</c:v>
                </c:pt>
                <c:pt idx="94">
                  <c:v>32.116979611020327</c:v>
                </c:pt>
                <c:pt idx="95">
                  <c:v>32.068182166292104</c:v>
                </c:pt>
                <c:pt idx="96">
                  <c:v>32.014781483570857</c:v>
                </c:pt>
                <c:pt idx="97">
                  <c:v>31.956773481702044</c:v>
                </c:pt>
                <c:pt idx="98">
                  <c:v>31.89415053246438</c:v>
                </c:pt>
                <c:pt idx="99">
                  <c:v>31.826901413212113</c:v>
                </c:pt>
                <c:pt idx="100">
                  <c:v>31.755011247622519</c:v>
                </c:pt>
                <c:pt idx="101">
                  <c:v>31.678461434021926</c:v>
                </c:pt>
                <c:pt idx="102">
                  <c:v>31.597229560655762</c:v>
                </c:pt>
                <c:pt idx="103">
                  <c:v>31.511289307158108</c:v>
                </c:pt>
                <c:pt idx="104">
                  <c:v>31.420610331346438</c:v>
                </c:pt>
                <c:pt idx="105">
                  <c:v>31.325158140329506</c:v>
                </c:pt>
                <c:pt idx="106">
                  <c:v>31.224893944763039</c:v>
                </c:pt>
                <c:pt idx="107">
                  <c:v>31.119774494908938</c:v>
                </c:pt>
                <c:pt idx="108">
                  <c:v>31.009751896961575</c:v>
                </c:pt>
                <c:pt idx="109">
                  <c:v>30.894773407879541</c:v>
                </c:pt>
                <c:pt idx="110">
                  <c:v>30.774781206706393</c:v>
                </c:pt>
                <c:pt idx="111">
                  <c:v>30.649712140074769</c:v>
                </c:pt>
                <c:pt idx="112">
                  <c:v>30.519497439253144</c:v>
                </c:pt>
                <c:pt idx="113">
                  <c:v>30.384062405707937</c:v>
                </c:pt>
                <c:pt idx="114">
                  <c:v>30.243326061708615</c:v>
                </c:pt>
                <c:pt idx="115">
                  <c:v>30.097200761981469</c:v>
                </c:pt>
                <c:pt idx="116">
                  <c:v>29.945591761812352</c:v>
                </c:pt>
                <c:pt idx="117">
                  <c:v>29.788396736285563</c:v>
                </c:pt>
                <c:pt idx="118">
                  <c:v>29.625505244511032</c:v>
                </c:pt>
                <c:pt idx="119">
                  <c:v>29.456798131698974</c:v>
                </c:pt>
                <c:pt idx="120">
                  <c:v>29.28214686077024</c:v>
                </c:pt>
                <c:pt idx="121">
                  <c:v>29.101412763789085</c:v>
                </c:pt>
                <c:pt idx="122">
                  <c:v>28.914446201830856</c:v>
                </c:pt>
                <c:pt idx="123">
                  <c:v>28.721085619881876</c:v>
                </c:pt>
                <c:pt idx="124">
                  <c:v>28.521156480936781</c:v>
                </c:pt>
                <c:pt idx="125">
                  <c:v>28.31447006049757</c:v>
                </c:pt>
                <c:pt idx="126">
                  <c:v>28.100822079074476</c:v>
                </c:pt>
                <c:pt idx="127">
                  <c:v>27.879991145851363</c:v>
                </c:pt>
                <c:pt idx="128">
                  <c:v>27.651736981205431</c:v>
                </c:pt>
                <c:pt idx="129">
                  <c:v>27.415798378969441</c:v>
                </c:pt>
                <c:pt idx="130">
                  <c:v>27.171890860806741</c:v>
                </c:pt>
                <c:pt idx="131">
                  <c:v>26.919703964352834</c:v>
                </c:pt>
                <c:pt idx="132">
                  <c:v>26.658898093158939</c:v>
                </c:pt>
                <c:pt idx="133">
                  <c:v>26.389100839063133</c:v>
                </c:pt>
                <c:pt idx="134">
                  <c:v>26.109902665144489</c:v>
                </c:pt>
                <c:pt idx="135">
                  <c:v>25.820851808158977</c:v>
                </c:pt>
                <c:pt idx="136">
                  <c:v>25.521448220890363</c:v>
                </c:pt>
                <c:pt idx="137">
                  <c:v>25.21113632373698</c:v>
                </c:pt>
                <c:pt idx="138">
                  <c:v>24.88929626616823</c:v>
                </c:pt>
                <c:pt idx="139">
                  <c:v>24.555233305229308</c:v>
                </c:pt>
                <c:pt idx="140">
                  <c:v>24.208164779412925</c:v>
                </c:pt>
                <c:pt idx="141">
                  <c:v>23.847203975917409</c:v>
                </c:pt>
                <c:pt idx="142">
                  <c:v>23.471339932968476</c:v>
                </c:pt>
                <c:pt idx="143">
                  <c:v>23.079411847935319</c:v>
                </c:pt>
                <c:pt idx="144">
                  <c:v>22.670076214599248</c:v>
                </c:pt>
                <c:pt idx="145">
                  <c:v>22.241763987474087</c:v>
                </c:pt>
                <c:pt idx="146">
                  <c:v>21.792623795543591</c:v>
                </c:pt>
                <c:pt idx="147">
                  <c:v>21.320445201854625</c:v>
                </c:pt>
                <c:pt idx="148">
                  <c:v>20.822552685325718</c:v>
                </c:pt>
                <c:pt idx="149">
                  <c:v>20.295655381052143</c:v>
                </c:pt>
                <c:pt idx="150">
                  <c:v>19.735627625376992</c:v>
                </c:pt>
                <c:pt idx="151">
                  <c:v>19.137176764673541</c:v>
                </c:pt>
                <c:pt idx="152">
                  <c:v>18.493318005133347</c:v>
                </c:pt>
                <c:pt idx="153">
                  <c:v>17.794498289042281</c:v>
                </c:pt>
                <c:pt idx="154">
                  <c:v>17.027030627017041</c:v>
                </c:pt>
                <c:pt idx="155">
                  <c:v>16.170029118091009</c:v>
                </c:pt>
                <c:pt idx="156">
                  <c:v>15.188591547235433</c:v>
                </c:pt>
                <c:pt idx="157">
                  <c:v>14.015370719423174</c:v>
                </c:pt>
                <c:pt idx="158">
                  <c:v>12.47980163735366</c:v>
                </c:pt>
                <c:pt idx="159">
                  <c:v>9.356877772376663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D39-4440-9FF5-395D9AC8DD4F}"/>
            </c:ext>
          </c:extLst>
        </c:ser>
        <c:ser>
          <c:idx val="1"/>
          <c:order val="1"/>
          <c:tx>
            <c:v>lamda 1</c:v>
          </c:tx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7.8945694263322252</c:v>
                </c:pt>
                <c:pt idx="22">
                  <c:v>4.0528659864656333</c:v>
                </c:pt>
                <c:pt idx="23">
                  <c:v>2.2434682762537363</c:v>
                </c:pt>
                <c:pt idx="24">
                  <c:v>0.87526647323653606</c:v>
                </c:pt>
                <c:pt idx="25">
                  <c:v>-0.25885017838174917</c:v>
                </c:pt>
                <c:pt idx="26">
                  <c:v>-1.2404716147543127</c:v>
                </c:pt>
                <c:pt idx="27">
                  <c:v>-2.1119111253725009</c:v>
                </c:pt>
                <c:pt idx="28">
                  <c:v>-2.8985353082065899</c:v>
                </c:pt>
                <c:pt idx="29">
                  <c:v>-3.6170069784946577</c:v>
                </c:pt>
                <c:pt idx="30">
                  <c:v>-4.278987900517393</c:v>
                </c:pt>
                <c:pt idx="31">
                  <c:v>-4.8930298877339169</c:v>
                </c:pt>
                <c:pt idx="32">
                  <c:v>-5.465633256246349</c:v>
                </c:pt>
                <c:pt idx="33">
                  <c:v>-6.0018815620345549</c:v>
                </c:pt>
                <c:pt idx="34">
                  <c:v>-6.5058433754871317</c:v>
                </c:pt>
                <c:pt idx="35">
                  <c:v>-6.9808379150227324</c:v>
                </c:pt>
                <c:pt idx="36">
                  <c:v>-7.4296170885523907</c:v>
                </c:pt>
                <c:pt idx="37">
                  <c:v>-7.8544940624815354</c:v>
                </c:pt>
                <c:pt idx="38">
                  <c:v>-8.2574364239667375</c:v>
                </c:pt>
                <c:pt idx="39">
                  <c:v>-8.6401351964562423</c:v>
                </c:pt>
                <c:pt idx="40">
                  <c:v>-9.0040569617655706</c:v>
                </c:pt>
                <c:pt idx="41">
                  <c:v>-9.3504838964440751</c:v>
                </c:pt>
                <c:pt idx="42">
                  <c:v>-9.6805449900797953</c:v>
                </c:pt>
                <c:pt idx="43">
                  <c:v>-9.9952407161831616</c:v>
                </c:pt>
                <c:pt idx="44">
                  <c:v>-10.295462764918909</c:v>
                </c:pt>
                <c:pt idx="45">
                  <c:v>-10.582009998576723</c:v>
                </c:pt>
                <c:pt idx="46">
                  <c:v>-10.855601480678843</c:v>
                </c:pt>
                <c:pt idx="47">
                  <c:v>-11.116887211496419</c:v>
                </c:pt>
                <c:pt idx="48">
                  <c:v>-11.366457046766925</c:v>
                </c:pt>
                <c:pt idx="49">
                  <c:v>-11.604848163231964</c:v>
                </c:pt>
                <c:pt idx="50">
                  <c:v>-11.832551351386428</c:v>
                </c:pt>
                <c:pt idx="51">
                  <c:v>-12.050016353867704</c:v>
                </c:pt>
                <c:pt idx="52">
                  <c:v>-12.257656421251966</c:v>
                </c:pt>
                <c:pt idx="53">
                  <c:v>-12.455852221519365</c:v>
                </c:pt>
                <c:pt idx="54">
                  <c:v>-12.644955212162643</c:v>
                </c:pt>
                <c:pt idx="55">
                  <c:v>-12.825290562752741</c:v>
                </c:pt>
                <c:pt idx="56">
                  <c:v>-12.997159699227609</c:v>
                </c:pt>
                <c:pt idx="57">
                  <c:v>-13.160842528122373</c:v>
                </c:pt>
                <c:pt idx="58">
                  <c:v>-13.316599388597467</c:v>
                </c:pt>
                <c:pt idx="59">
                  <c:v>-13.464672771833534</c:v>
                </c:pt>
                <c:pt idx="60">
                  <c:v>-13.605288840689582</c:v>
                </c:pt>
                <c:pt idx="61">
                  <c:v>-13.738658777114324</c:v>
                </c:pt>
                <c:pt idx="62">
                  <c:v>-13.864979980396583</c:v>
                </c:pt>
                <c:pt idx="63">
                  <c:v>-13.984437135728342</c:v>
                </c:pt>
                <c:pt idx="64">
                  <c:v>-14.097203169583622</c:v>
                </c:pt>
                <c:pt idx="65">
                  <c:v>-14.203440105949028</c:v>
                </c:pt>
                <c:pt idx="66">
                  <c:v>-14.303299835397411</c:v>
                </c:pt>
                <c:pt idx="67">
                  <c:v>-14.396924807280584</c:v>
                </c:pt>
                <c:pt idx="68">
                  <c:v>-14.484448653881032</c:v>
                </c:pt>
                <c:pt idx="69">
                  <c:v>-14.565996754150092</c:v>
                </c:pt>
                <c:pt idx="70">
                  <c:v>-14.641686743634239</c:v>
                </c:pt>
                <c:pt idx="71">
                  <c:v>-14.71162897631865</c:v>
                </c:pt>
                <c:pt idx="72">
                  <c:v>-14.775926943374941</c:v>
                </c:pt>
                <c:pt idx="73">
                  <c:v>-14.834677653160838</c:v>
                </c:pt>
                <c:pt idx="74">
                  <c:v>-14.887971976274628</c:v>
                </c:pt>
                <c:pt idx="75">
                  <c:v>-14.935894958992776</c:v>
                </c:pt>
                <c:pt idx="76">
                  <c:v>-14.978526108010954</c:v>
                </c:pt>
                <c:pt idx="77">
                  <c:v>-15.015939649055326</c:v>
                </c:pt>
                <c:pt idx="78">
                  <c:v>-15.048204761618251</c:v>
                </c:pt>
                <c:pt idx="79">
                  <c:v>-15.075385791802546</c:v>
                </c:pt>
                <c:pt idx="80">
                  <c:v>-15.097542445021077</c:v>
                </c:pt>
                <c:pt idx="81">
                  <c:v>-15.114729960086152</c:v>
                </c:pt>
                <c:pt idx="82">
                  <c:v>-15.126999266037956</c:v>
                </c:pt>
                <c:pt idx="83">
                  <c:v>-15.134397122893859</c:v>
                </c:pt>
                <c:pt idx="84">
                  <c:v>-15.136966247352177</c:v>
                </c:pt>
                <c:pt idx="85">
                  <c:v>-15.134745424350172</c:v>
                </c:pt>
                <c:pt idx="86">
                  <c:v>-15.127769605252695</c:v>
                </c:pt>
                <c:pt idx="87">
                  <c:v>-15.116069993338897</c:v>
                </c:pt>
                <c:pt idx="88">
                  <c:v>-15.099674117150585</c:v>
                </c:pt>
                <c:pt idx="89">
                  <c:v>-15.078605892170685</c:v>
                </c:pt>
                <c:pt idx="90">
                  <c:v>-15.05288567121346</c:v>
                </c:pt>
                <c:pt idx="91">
                  <c:v>-15.022530283820345</c:v>
                </c:pt>
                <c:pt idx="92">
                  <c:v>-14.987553064876977</c:v>
                </c:pt>
                <c:pt idx="93">
                  <c:v>-14.947963872588446</c:v>
                </c:pt>
                <c:pt idx="94">
                  <c:v>-14.903769095870871</c:v>
                </c:pt>
                <c:pt idx="95">
                  <c:v>-14.854971651142648</c:v>
                </c:pt>
                <c:pt idx="96">
                  <c:v>-14.801570968421458</c:v>
                </c:pt>
                <c:pt idx="97">
                  <c:v>-14.743562966552645</c:v>
                </c:pt>
                <c:pt idx="98">
                  <c:v>-14.680940017314924</c:v>
                </c:pt>
                <c:pt idx="99">
                  <c:v>-14.613690898062657</c:v>
                </c:pt>
                <c:pt idx="100">
                  <c:v>-14.541800732473121</c:v>
                </c:pt>
                <c:pt idx="101">
                  <c:v>-14.465250918872471</c:v>
                </c:pt>
                <c:pt idx="102">
                  <c:v>-14.384019045506307</c:v>
                </c:pt>
                <c:pt idx="103">
                  <c:v>-14.29807879200871</c:v>
                </c:pt>
                <c:pt idx="104">
                  <c:v>-14.207399816196983</c:v>
                </c:pt>
                <c:pt idx="105">
                  <c:v>-14.111947625180107</c:v>
                </c:pt>
                <c:pt idx="106">
                  <c:v>-14.011683429613583</c:v>
                </c:pt>
                <c:pt idx="107">
                  <c:v>-13.906563979759483</c:v>
                </c:pt>
                <c:pt idx="108">
                  <c:v>-13.796541381812119</c:v>
                </c:pt>
                <c:pt idx="109">
                  <c:v>-13.681562892730142</c:v>
                </c:pt>
                <c:pt idx="110">
                  <c:v>-13.561570691556994</c:v>
                </c:pt>
                <c:pt idx="111">
                  <c:v>-13.43650162492537</c:v>
                </c:pt>
                <c:pt idx="112">
                  <c:v>-13.306286924103688</c:v>
                </c:pt>
                <c:pt idx="113">
                  <c:v>-13.170851890558481</c:v>
                </c:pt>
                <c:pt idx="114">
                  <c:v>-13.030115546559159</c:v>
                </c:pt>
                <c:pt idx="115">
                  <c:v>-12.883990246832013</c:v>
                </c:pt>
                <c:pt idx="116">
                  <c:v>-12.732381246662897</c:v>
                </c:pt>
                <c:pt idx="117">
                  <c:v>-12.575186221136164</c:v>
                </c:pt>
                <c:pt idx="118">
                  <c:v>-12.412294729361577</c:v>
                </c:pt>
                <c:pt idx="119">
                  <c:v>-12.243587616549576</c:v>
                </c:pt>
                <c:pt idx="120">
                  <c:v>-12.068936345620841</c:v>
                </c:pt>
                <c:pt idx="121">
                  <c:v>-11.888202248639686</c:v>
                </c:pt>
                <c:pt idx="122">
                  <c:v>-11.7012356866814</c:v>
                </c:pt>
                <c:pt idx="123">
                  <c:v>-11.507875104732477</c:v>
                </c:pt>
                <c:pt idx="124">
                  <c:v>-11.307945965787326</c:v>
                </c:pt>
                <c:pt idx="125">
                  <c:v>-11.101259545348114</c:v>
                </c:pt>
                <c:pt idx="126">
                  <c:v>-10.88761156392502</c:v>
                </c:pt>
                <c:pt idx="127">
                  <c:v>-10.666780630701965</c:v>
                </c:pt>
                <c:pt idx="128">
                  <c:v>-10.438526466056032</c:v>
                </c:pt>
                <c:pt idx="129">
                  <c:v>-10.202587863820042</c:v>
                </c:pt>
                <c:pt idx="130">
                  <c:v>-9.9586803456572852</c:v>
                </c:pt>
                <c:pt idx="131">
                  <c:v>-9.7064934492034354</c:v>
                </c:pt>
                <c:pt idx="132">
                  <c:v>-9.4456875780095402</c:v>
                </c:pt>
                <c:pt idx="133">
                  <c:v>-9.1758903239137339</c:v>
                </c:pt>
                <c:pt idx="134">
                  <c:v>-8.8966921499950899</c:v>
                </c:pt>
                <c:pt idx="135">
                  <c:v>-8.6076412930095785</c:v>
                </c:pt>
                <c:pt idx="136">
                  <c:v>-8.3082377057409076</c:v>
                </c:pt>
                <c:pt idx="137">
                  <c:v>-7.9979258085875813</c:v>
                </c:pt>
                <c:pt idx="138">
                  <c:v>-7.6760857510188316</c:v>
                </c:pt>
                <c:pt idx="139">
                  <c:v>-7.3420227900798523</c:v>
                </c:pt>
                <c:pt idx="140">
                  <c:v>-6.9949542642635265</c:v>
                </c:pt>
                <c:pt idx="141">
                  <c:v>-6.6339934607680107</c:v>
                </c:pt>
                <c:pt idx="142">
                  <c:v>-6.2581294178190774</c:v>
                </c:pt>
                <c:pt idx="143">
                  <c:v>-5.8662013327858631</c:v>
                </c:pt>
                <c:pt idx="144">
                  <c:v>-5.4568656994498497</c:v>
                </c:pt>
                <c:pt idx="145">
                  <c:v>-5.0285534723246883</c:v>
                </c:pt>
                <c:pt idx="146">
                  <c:v>-4.5794132803941352</c:v>
                </c:pt>
                <c:pt idx="147">
                  <c:v>-4.1072346867052261</c:v>
                </c:pt>
                <c:pt idx="148">
                  <c:v>-3.6093421701762622</c:v>
                </c:pt>
                <c:pt idx="149">
                  <c:v>-3.0824448659026871</c:v>
                </c:pt>
                <c:pt idx="150">
                  <c:v>-2.5224171102275363</c:v>
                </c:pt>
                <c:pt idx="151">
                  <c:v>-1.9239662495241419</c:v>
                </c:pt>
                <c:pt idx="152">
                  <c:v>-1.2801074899838909</c:v>
                </c:pt>
                <c:pt idx="153">
                  <c:v>-0.58128777389288189</c:v>
                </c:pt>
                <c:pt idx="154">
                  <c:v>0.18617988813235797</c:v>
                </c:pt>
                <c:pt idx="155">
                  <c:v>1.0431813970584471</c:v>
                </c:pt>
                <c:pt idx="156">
                  <c:v>2.024618967914023</c:v>
                </c:pt>
                <c:pt idx="157">
                  <c:v>3.1978397957262814</c:v>
                </c:pt>
                <c:pt idx="158">
                  <c:v>4.733408877795739</c:v>
                </c:pt>
                <c:pt idx="159">
                  <c:v>7.8563327427727927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D39-4440-9FF5-395D9AC8DD4F}"/>
            </c:ext>
          </c:extLst>
        </c:ser>
        <c:ser>
          <c:idx val="2"/>
          <c:order val="2"/>
          <c:tx>
            <c:v>lamda 2s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-40.787704270236461</c:v>
                </c:pt>
                <c:pt idx="1">
                  <c:v>-40.787704270236461</c:v>
                </c:pt>
                <c:pt idx="2">
                  <c:v>-37.862116372729773</c:v>
                </c:pt>
                <c:pt idx="3">
                  <c:v>-35.149041320535098</c:v>
                </c:pt>
                <c:pt idx="4">
                  <c:v>-33.300562689638149</c:v>
                </c:pt>
                <c:pt idx="5">
                  <c:v>-31.820747859536009</c:v>
                </c:pt>
                <c:pt idx="6">
                  <c:v>-30.561788510855269</c:v>
                </c:pt>
                <c:pt idx="7">
                  <c:v>-29.45517153689811</c:v>
                </c:pt>
                <c:pt idx="8">
                  <c:v>-28.462352385695375</c:v>
                </c:pt>
                <c:pt idx="9">
                  <c:v>-27.559038532513004</c:v>
                </c:pt>
                <c:pt idx="10">
                  <c:v>-26.728718200333322</c:v>
                </c:pt>
                <c:pt idx="11">
                  <c:v>-25.959543676251059</c:v>
                </c:pt>
                <c:pt idx="12">
                  <c:v>-25.242659692086619</c:v>
                </c:pt>
                <c:pt idx="13">
                  <c:v>-24.571233051536289</c:v>
                </c:pt>
                <c:pt idx="14">
                  <c:v>-23.939853983027454</c:v>
                </c:pt>
                <c:pt idx="15">
                  <c:v>-23.344148506782414</c:v>
                </c:pt>
                <c:pt idx="16">
                  <c:v>-22.780517332630129</c:v>
                </c:pt>
                <c:pt idx="17">
                  <c:v>-22.245954115743046</c:v>
                </c:pt>
                <c:pt idx="18">
                  <c:v>-21.737915388755599</c:v>
                </c:pt>
                <c:pt idx="19">
                  <c:v>-21.254225234726484</c:v>
                </c:pt>
                <c:pt idx="20">
                  <c:v>-20.793003965003066</c:v>
                </c:pt>
                <c:pt idx="21">
                  <c:v>-20.352613784214114</c:v>
                </c:pt>
                <c:pt idx="22">
                  <c:v>-19.931616730713689</c:v>
                </c:pt>
                <c:pt idx="23">
                  <c:v>-19.528741653716217</c:v>
                </c:pt>
                <c:pt idx="24">
                  <c:v>-19.142857953821416</c:v>
                </c:pt>
                <c:pt idx="25">
                  <c:v>-18.772954461207526</c:v>
                </c:pt>
                <c:pt idx="26">
                  <c:v>-18.418122269196711</c:v>
                </c:pt>
                <c:pt idx="27">
                  <c:v>-18.077540650213585</c:v>
                </c:pt>
                <c:pt idx="28">
                  <c:v>-17.750465400600522</c:v>
                </c:pt>
                <c:pt idx="29">
                  <c:v>-17.436219118829609</c:v>
                </c:pt>
                <c:pt idx="30">
                  <c:v>-17.134183037131432</c:v>
                </c:pt>
                <c:pt idx="31">
                  <c:v>-16.843790112014748</c:v>
                </c:pt>
                <c:pt idx="32">
                  <c:v>-16.564519143137364</c:v>
                </c:pt>
                <c:pt idx="33">
                  <c:v>-16.295889738428148</c:v>
                </c:pt>
                <c:pt idx="34">
                  <c:v>-16.037457980403001</c:v>
                </c:pt>
                <c:pt idx="35">
                  <c:v>-15.788812677216923</c:v>
                </c:pt>
                <c:pt idx="36">
                  <c:v>-15.549572104263321</c:v>
                </c:pt>
                <c:pt idx="37">
                  <c:v>-15.319381159622157</c:v>
                </c:pt>
                <c:pt idx="38">
                  <c:v>-15.097908870495202</c:v>
                </c:pt>
                <c:pt idx="39">
                  <c:v>-14.884846198796065</c:v>
                </c:pt>
                <c:pt idx="40">
                  <c:v>-14.679904102913829</c:v>
                </c:pt>
                <c:pt idx="41">
                  <c:v>-14.48281181981497</c:v>
                </c:pt>
                <c:pt idx="42">
                  <c:v>-14.293315337456685</c:v>
                </c:pt>
                <c:pt idx="43">
                  <c:v>-14.111176032229222</c:v>
                </c:pt>
                <c:pt idx="44">
                  <c:v>-13.936169450043369</c:v>
                </c:pt>
                <c:pt idx="45">
                  <c:v>-13.768084212898426</c:v>
                </c:pt>
                <c:pt idx="46">
                  <c:v>-13.606721035437445</c:v>
                </c:pt>
                <c:pt idx="47">
                  <c:v>-13.451891838223107</c:v>
                </c:pt>
                <c:pt idx="48">
                  <c:v>-13.303418946332936</c:v>
                </c:pt>
                <c:pt idx="49">
                  <c:v>-13.161134363439574</c:v>
                </c:pt>
                <c:pt idx="50">
                  <c:v>-13.024879112866808</c:v>
                </c:pt>
                <c:pt idx="51">
                  <c:v>-12.894502638232579</c:v>
                </c:pt>
                <c:pt idx="52">
                  <c:v>-12.769862257245567</c:v>
                </c:pt>
                <c:pt idx="53">
                  <c:v>-12.650822663035619</c:v>
                </c:pt>
                <c:pt idx="54">
                  <c:v>-12.537255468096761</c:v>
                </c:pt>
                <c:pt idx="55">
                  <c:v>-12.429038786520076</c:v>
                </c:pt>
                <c:pt idx="56">
                  <c:v>-12.326056850711529</c:v>
                </c:pt>
                <c:pt idx="57">
                  <c:v>-12.228199659234942</c:v>
                </c:pt>
                <c:pt idx="58">
                  <c:v>-12.135362652810015</c:v>
                </c:pt>
                <c:pt idx="59">
                  <c:v>-12.047446415829063</c:v>
                </c:pt>
                <c:pt idx="60">
                  <c:v>-11.964356401052333</c:v>
                </c:pt>
                <c:pt idx="61">
                  <c:v>-11.886002675397043</c:v>
                </c:pt>
                <c:pt idx="62">
                  <c:v>-11.812299684960125</c:v>
                </c:pt>
                <c:pt idx="63">
                  <c:v>-11.743166037612731</c:v>
                </c:pt>
                <c:pt idx="64">
                  <c:v>-11.67852430167847</c:v>
                </c:pt>
                <c:pt idx="65">
                  <c:v>-11.618300819359973</c:v>
                </c:pt>
                <c:pt idx="66">
                  <c:v>-11.562425533715556</c:v>
                </c:pt>
                <c:pt idx="67">
                  <c:v>-11.510831828107365</c:v>
                </c:pt>
                <c:pt idx="68">
                  <c:v>-11.46345637714929</c:v>
                </c:pt>
                <c:pt idx="69">
                  <c:v>-11.420239008278626</c:v>
                </c:pt>
                <c:pt idx="70">
                  <c:v>-11.381122573160679</c:v>
                </c:pt>
                <c:pt idx="71">
                  <c:v>-11.346052828210739</c:v>
                </c:pt>
                <c:pt idx="72">
                  <c:v>-11.314978323587374</c:v>
                </c:pt>
                <c:pt idx="73">
                  <c:v>-11.287850300070781</c:v>
                </c:pt>
                <c:pt idx="74">
                  <c:v>-11.264622593296675</c:v>
                </c:pt>
                <c:pt idx="75">
                  <c:v>-11.245251544864187</c:v>
                </c:pt>
                <c:pt idx="76">
                  <c:v>-11.229695919883559</c:v>
                </c:pt>
                <c:pt idx="77">
                  <c:v>-11.217916830568026</c:v>
                </c:pt>
                <c:pt idx="78">
                  <c:v>-11.20987766551279</c:v>
                </c:pt>
                <c:pt idx="79">
                  <c:v>-11.205544024337984</c:v>
                </c:pt>
                <c:pt idx="80">
                  <c:v>-11.204883657402261</c:v>
                </c:pt>
                <c:pt idx="81">
                  <c:v>-11.207866410323632</c:v>
                </c:pt>
                <c:pt idx="82">
                  <c:v>-11.214464173069057</c:v>
                </c:pt>
                <c:pt idx="83">
                  <c:v>-11.224650833399457</c:v>
                </c:pt>
                <c:pt idx="84">
                  <c:v>-11.238402234478263</c:v>
                </c:pt>
                <c:pt idx="85">
                  <c:v>-11.255696136473349</c:v>
                </c:pt>
                <c:pt idx="86">
                  <c:v>-11.276512182001278</c:v>
                </c:pt>
                <c:pt idx="87">
                  <c:v>-11.300831865281104</c:v>
                </c:pt>
                <c:pt idx="88">
                  <c:v>-11.328638504882393</c:v>
                </c:pt>
                <c:pt idx="89">
                  <c:v>-11.359917219969136</c:v>
                </c:pt>
                <c:pt idx="90">
                  <c:v>-11.394654909955552</c:v>
                </c:pt>
                <c:pt idx="91">
                  <c:v>-11.43284023750725</c:v>
                </c:pt>
                <c:pt idx="92">
                  <c:v>-11.47446361483326</c:v>
                </c:pt>
                <c:pt idx="93">
                  <c:v>-11.519517193231382</c:v>
                </c:pt>
                <c:pt idx="94">
                  <c:v>-11.56799485586142</c:v>
                </c:pt>
                <c:pt idx="95">
                  <c:v>-11.61989221373652</c:v>
                </c:pt>
                <c:pt idx="96">
                  <c:v>-11.675206604935349</c:v>
                </c:pt>
                <c:pt idx="97">
                  <c:v>-11.733937097053465</c:v>
                </c:pt>
                <c:pt idx="98">
                  <c:v>-11.796084492925567</c:v>
                </c:pt>
                <c:pt idx="99">
                  <c:v>-11.861651339665285</c:v>
                </c:pt>
                <c:pt idx="100">
                  <c:v>-11.930641941084813</c:v>
                </c:pt>
                <c:pt idx="101">
                  <c:v>-12.003062373571547</c:v>
                </c:pt>
                <c:pt idx="102">
                  <c:v>-12.078920505516455</c:v>
                </c:pt>
                <c:pt idx="103">
                  <c:v>-12.158226020405111</c:v>
                </c:pt>
                <c:pt idx="104">
                  <c:v>-12.240990443701733</c:v>
                </c:pt>
                <c:pt idx="105">
                  <c:v>-12.327227173675809</c:v>
                </c:pt>
                <c:pt idx="106">
                  <c:v>-12.416951516341324</c:v>
                </c:pt>
                <c:pt idx="107">
                  <c:v>-12.510180724702415</c:v>
                </c:pt>
                <c:pt idx="108">
                  <c:v>-12.606934042522642</c:v>
                </c:pt>
                <c:pt idx="109">
                  <c:v>-12.707232752862179</c:v>
                </c:pt>
                <c:pt idx="110">
                  <c:v>-12.81110023165604</c:v>
                </c:pt>
                <c:pt idx="111">
                  <c:v>-12.918562006638638</c:v>
                </c:pt>
                <c:pt idx="112">
                  <c:v>-13.029645821953716</c:v>
                </c:pt>
                <c:pt idx="113">
                  <c:v>-13.144381708828694</c:v>
                </c:pt>
                <c:pt idx="114">
                  <c:v>-13.262802062733229</c:v>
                </c:pt>
                <c:pt idx="115">
                  <c:v>-13.384941727489998</c:v>
                </c:pt>
                <c:pt idx="116">
                  <c:v>-13.510838086857754</c:v>
                </c:pt>
                <c:pt idx="117">
                  <c:v>-13.640531164164328</c:v>
                </c:pt>
                <c:pt idx="118">
                  <c:v>-13.774063730633063</c:v>
                </c:pt>
                <c:pt idx="119">
                  <c:v>-13.911481423118843</c:v>
                </c:pt>
                <c:pt idx="120">
                  <c:v>-14.052832872051022</c:v>
                </c:pt>
                <c:pt idx="121">
                  <c:v>-14.198169840473801</c:v>
                </c:pt>
                <c:pt idx="122">
                  <c:v>-14.347547375176996</c:v>
                </c:pt>
                <c:pt idx="123">
                  <c:v>-14.501023971028987</c:v>
                </c:pt>
                <c:pt idx="124">
                  <c:v>-14.658661749755293</c:v>
                </c:pt>
                <c:pt idx="125">
                  <c:v>-14.82052665455849</c:v>
                </c:pt>
                <c:pt idx="126">
                  <c:v>-14.986688662146841</c:v>
                </c:pt>
                <c:pt idx="127">
                  <c:v>-15.157222013935689</c:v>
                </c:pt>
                <c:pt idx="128">
                  <c:v>-15.332205468411201</c:v>
                </c:pt>
                <c:pt idx="129">
                  <c:v>-15.511722576903853</c:v>
                </c:pt>
                <c:pt idx="130">
                  <c:v>-15.695861985317423</c:v>
                </c:pt>
                <c:pt idx="131">
                  <c:v>-15.884717764702263</c:v>
                </c:pt>
                <c:pt idx="132">
                  <c:v>-16.078389773959294</c:v>
                </c:pt>
                <c:pt idx="133">
                  <c:v>-16.276984058423487</c:v>
                </c:pt>
                <c:pt idx="134">
                  <c:v>-16.480613288613004</c:v>
                </c:pt>
                <c:pt idx="135">
                  <c:v>-16.689397244059869</c:v>
                </c:pt>
                <c:pt idx="136">
                  <c:v>-16.903463347874773</c:v>
                </c:pt>
                <c:pt idx="137">
                  <c:v>-17.122947258566956</c:v>
                </c:pt>
                <c:pt idx="138">
                  <c:v>-17.347993526665174</c:v>
                </c:pt>
                <c:pt idx="139">
                  <c:v>-17.578756324901562</c:v>
                </c:pt>
                <c:pt idx="140">
                  <c:v>-17.815400262167394</c:v>
                </c:pt>
                <c:pt idx="141">
                  <c:v>-18.05810129318002</c:v>
                </c:pt>
                <c:pt idx="142">
                  <c:v>-18.307047737878474</c:v>
                </c:pt>
                <c:pt idx="143">
                  <c:v>-18.562441427071633</c:v>
                </c:pt>
                <c:pt idx="144">
                  <c:v>-18.824498993902644</c:v>
                </c:pt>
                <c:pt idx="145">
                  <c:v>-19.093453334395967</c:v>
                </c:pt>
                <c:pt idx="146">
                  <c:v>-19.369555264891968</c:v>
                </c:pt>
                <c:pt idx="147">
                  <c:v>-19.653075409764142</c:v>
                </c:pt>
                <c:pt idx="148">
                  <c:v>-19.944306359745891</c:v>
                </c:pt>
                <c:pt idx="149">
                  <c:v>-20.243565149842325</c:v>
                </c:pt>
                <c:pt idx="150">
                  <c:v>-20.551196116664347</c:v>
                </c:pt>
                <c:pt idx="151">
                  <c:v>-20.867574208770534</c:v>
                </c:pt>
                <c:pt idx="152">
                  <c:v>-21.193108841126129</c:v>
                </c:pt>
                <c:pt idx="153">
                  <c:v>-21.528248407324323</c:v>
                </c:pt>
                <c:pt idx="154">
                  <c:v>-21.873485592439245</c:v>
                </c:pt>
                <c:pt idx="155">
                  <c:v>-22.22936366764775</c:v>
                </c:pt>
                <c:pt idx="156">
                  <c:v>-22.596483998372857</c:v>
                </c:pt>
                <c:pt idx="157">
                  <c:v>-22.975515065393758</c:v>
                </c:pt>
                <c:pt idx="158">
                  <c:v>-23.367203389973191</c:v>
                </c:pt>
                <c:pt idx="159">
                  <c:v>-23.772386879636795</c:v>
                </c:pt>
                <c:pt idx="160">
                  <c:v>-24.192011285836784</c:v>
                </c:pt>
                <c:pt idx="161">
                  <c:v>-24.627150711236901</c:v>
                </c:pt>
                <c:pt idx="162">
                  <c:v>-25.079033458324371</c:v>
                </c:pt>
                <c:pt idx="163">
                  <c:v>-25.549075028905097</c:v>
                </c:pt>
                <c:pt idx="164">
                  <c:v>-26.038920857537839</c:v>
                </c:pt>
                <c:pt idx="165">
                  <c:v>-26.550502544391431</c:v>
                </c:pt>
                <c:pt idx="166">
                  <c:v>-27.086113208295785</c:v>
                </c:pt>
                <c:pt idx="167">
                  <c:v>-27.648510579114561</c:v>
                </c:pt>
                <c:pt idx="168">
                  <c:v>-28.241061460889714</c:v>
                </c:pt>
                <c:pt idx="169">
                  <c:v>-28.867949910296861</c:v>
                </c:pt>
                <c:pt idx="170">
                  <c:v>-29.534487330360559</c:v>
                </c:pt>
                <c:pt idx="171">
                  <c:v>-30.247593143996109</c:v>
                </c:pt>
                <c:pt idx="172">
                  <c:v>-31.016577228031256</c:v>
                </c:pt>
                <c:pt idx="173">
                  <c:v>-31.85449447314997</c:v>
                </c:pt>
                <c:pt idx="174">
                  <c:v>-32.780685727368237</c:v>
                </c:pt>
                <c:pt idx="175">
                  <c:v>-33.826095646917587</c:v>
                </c:pt>
                <c:pt idx="176">
                  <c:v>-35.046335099556416</c:v>
                </c:pt>
                <c:pt idx="177">
                  <c:v>-36.563467647748539</c:v>
                </c:pt>
                <c:pt idx="178">
                  <c:v>-38.805608548593121</c:v>
                </c:pt>
                <c:pt idx="179">
                  <c:v>-40.984426235633109</c:v>
                </c:pt>
                <c:pt idx="180">
                  <c:v>-40.984426235633109</c:v>
                </c:pt>
                <c:pt idx="181">
                  <c:v>-40.984426235633109</c:v>
                </c:pt>
                <c:pt idx="182">
                  <c:v>-40.984426235633109</c:v>
                </c:pt>
                <c:pt idx="183">
                  <c:v>-40.984426235633109</c:v>
                </c:pt>
                <c:pt idx="184">
                  <c:v>-40.984426235633109</c:v>
                </c:pt>
                <c:pt idx="185">
                  <c:v>-40.984426235633109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D39-4440-9FF5-395D9AC8DD4F}"/>
            </c:ext>
          </c:extLst>
        </c:ser>
        <c:ser>
          <c:idx val="3"/>
          <c:order val="3"/>
          <c:tx>
            <c:v>lamda 2</c:v>
          </c:tx>
          <c:spPr>
            <a:ln w="22225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-42.70997502370404</c:v>
                </c:pt>
                <c:pt idx="1">
                  <c:v>-42.70997502370404</c:v>
                </c:pt>
                <c:pt idx="2">
                  <c:v>-45.63556292121072</c:v>
                </c:pt>
                <c:pt idx="3">
                  <c:v>-48.348637973405395</c:v>
                </c:pt>
                <c:pt idx="4">
                  <c:v>-50.197116604302344</c:v>
                </c:pt>
                <c:pt idx="5">
                  <c:v>-51.676931434404487</c:v>
                </c:pt>
                <c:pt idx="6">
                  <c:v>-52.935890783085227</c:v>
                </c:pt>
                <c:pt idx="7">
                  <c:v>-54.042507757042387</c:v>
                </c:pt>
                <c:pt idx="8">
                  <c:v>-55.035326908245118</c:v>
                </c:pt>
                <c:pt idx="9">
                  <c:v>-55.938640761427493</c:v>
                </c:pt>
                <c:pt idx="10">
                  <c:v>-56.768961093607174</c:v>
                </c:pt>
                <c:pt idx="11">
                  <c:v>-57.538135617689434</c:v>
                </c:pt>
                <c:pt idx="12">
                  <c:v>-58.255019601853881</c:v>
                </c:pt>
                <c:pt idx="13">
                  <c:v>-58.926446242404211</c:v>
                </c:pt>
                <c:pt idx="14">
                  <c:v>-59.557825310913046</c:v>
                </c:pt>
                <c:pt idx="15">
                  <c:v>-60.15353078715809</c:v>
                </c:pt>
                <c:pt idx="16">
                  <c:v>-60.717161961310374</c:v>
                </c:pt>
                <c:pt idx="17">
                  <c:v>-61.251725178197454</c:v>
                </c:pt>
                <c:pt idx="18">
                  <c:v>-61.759763905184897</c:v>
                </c:pt>
                <c:pt idx="19">
                  <c:v>-62.243454059214002</c:v>
                </c:pt>
                <c:pt idx="20">
                  <c:v>-62.704675328937427</c:v>
                </c:pt>
                <c:pt idx="21">
                  <c:v>-63.145065509726372</c:v>
                </c:pt>
                <c:pt idx="22">
                  <c:v>-63.566062563226815</c:v>
                </c:pt>
                <c:pt idx="23">
                  <c:v>-63.968937640224269</c:v>
                </c:pt>
                <c:pt idx="24">
                  <c:v>-64.354821340119074</c:v>
                </c:pt>
                <c:pt idx="25">
                  <c:v>-64.724724832732974</c:v>
                </c:pt>
                <c:pt idx="26">
                  <c:v>-65.079557024743778</c:v>
                </c:pt>
                <c:pt idx="27">
                  <c:v>-65.420138643726901</c:v>
                </c:pt>
                <c:pt idx="28">
                  <c:v>-65.747213893339975</c:v>
                </c:pt>
                <c:pt idx="29">
                  <c:v>-66.061460175110895</c:v>
                </c:pt>
                <c:pt idx="30">
                  <c:v>-66.363496256809057</c:v>
                </c:pt>
                <c:pt idx="31">
                  <c:v>-66.653889181925749</c:v>
                </c:pt>
                <c:pt idx="32">
                  <c:v>-66.933160150803133</c:v>
                </c:pt>
                <c:pt idx="33">
                  <c:v>-67.201789555512335</c:v>
                </c:pt>
                <c:pt idx="34">
                  <c:v>-67.460221313537488</c:v>
                </c:pt>
                <c:pt idx="35">
                  <c:v>-67.708866616723583</c:v>
                </c:pt>
                <c:pt idx="36">
                  <c:v>-67.948107189677174</c:v>
                </c:pt>
                <c:pt idx="37">
                  <c:v>-68.178298134318325</c:v>
                </c:pt>
                <c:pt idx="38">
                  <c:v>-68.39977042344529</c:v>
                </c:pt>
                <c:pt idx="39">
                  <c:v>-68.612833095144424</c:v>
                </c:pt>
                <c:pt idx="40">
                  <c:v>-68.817775191026655</c:v>
                </c:pt>
                <c:pt idx="41">
                  <c:v>-69.014867474125538</c:v>
                </c:pt>
                <c:pt idx="42">
                  <c:v>-69.204363956483803</c:v>
                </c:pt>
                <c:pt idx="43">
                  <c:v>-69.386503261711283</c:v>
                </c:pt>
                <c:pt idx="44">
                  <c:v>-69.561509843897113</c:v>
                </c:pt>
                <c:pt idx="45">
                  <c:v>-69.729595081042078</c:v>
                </c:pt>
                <c:pt idx="46">
                  <c:v>-69.890958258503048</c:v>
                </c:pt>
                <c:pt idx="47">
                  <c:v>-70.045787455717388</c:v>
                </c:pt>
                <c:pt idx="48">
                  <c:v>-70.194260347607567</c:v>
                </c:pt>
                <c:pt idx="49">
                  <c:v>-70.336544930500921</c:v>
                </c:pt>
                <c:pt idx="50">
                  <c:v>-70.47280018107368</c:v>
                </c:pt>
                <c:pt idx="51">
                  <c:v>-70.603176655707912</c:v>
                </c:pt>
                <c:pt idx="52">
                  <c:v>-70.727817036694915</c:v>
                </c:pt>
                <c:pt idx="53">
                  <c:v>-70.846856630904881</c:v>
                </c:pt>
                <c:pt idx="54">
                  <c:v>-70.960423825843733</c:v>
                </c:pt>
                <c:pt idx="55">
                  <c:v>-71.068640507420426</c:v>
                </c:pt>
                <c:pt idx="56">
                  <c:v>-71.171622443228969</c:v>
                </c:pt>
                <c:pt idx="57">
                  <c:v>-71.269479634705561</c:v>
                </c:pt>
                <c:pt idx="58">
                  <c:v>-71.362316641130477</c:v>
                </c:pt>
                <c:pt idx="59">
                  <c:v>-71.450232878111436</c:v>
                </c:pt>
                <c:pt idx="60">
                  <c:v>-71.533322892888165</c:v>
                </c:pt>
                <c:pt idx="61">
                  <c:v>-71.611676618543441</c:v>
                </c:pt>
                <c:pt idx="62">
                  <c:v>-71.685379608980369</c:v>
                </c:pt>
                <c:pt idx="63">
                  <c:v>-71.754513256327769</c:v>
                </c:pt>
                <c:pt idx="64">
                  <c:v>-71.819154992262014</c:v>
                </c:pt>
                <c:pt idx="65">
                  <c:v>-71.879378474580534</c:v>
                </c:pt>
                <c:pt idx="66">
                  <c:v>-71.935253760224938</c:v>
                </c:pt>
                <c:pt idx="67">
                  <c:v>-71.986847465833122</c:v>
                </c:pt>
                <c:pt idx="68">
                  <c:v>-72.034222916791194</c:v>
                </c:pt>
                <c:pt idx="69">
                  <c:v>-72.077440285661879</c:v>
                </c:pt>
                <c:pt idx="70">
                  <c:v>-72.116556720779812</c:v>
                </c:pt>
                <c:pt idx="71">
                  <c:v>-72.151626465729748</c:v>
                </c:pt>
                <c:pt idx="72">
                  <c:v>-72.18270097035311</c:v>
                </c:pt>
                <c:pt idx="73">
                  <c:v>-72.209828993869721</c:v>
                </c:pt>
                <c:pt idx="74">
                  <c:v>-72.233056700643814</c:v>
                </c:pt>
                <c:pt idx="75">
                  <c:v>-72.252427749076318</c:v>
                </c:pt>
                <c:pt idx="76">
                  <c:v>-72.267983374056939</c:v>
                </c:pt>
                <c:pt idx="77">
                  <c:v>-72.279762463372478</c:v>
                </c:pt>
                <c:pt idx="78">
                  <c:v>-72.287801628427701</c:v>
                </c:pt>
                <c:pt idx="79">
                  <c:v>-72.292135269602511</c:v>
                </c:pt>
                <c:pt idx="80">
                  <c:v>-72.292795636538244</c:v>
                </c:pt>
                <c:pt idx="81">
                  <c:v>-72.289812883616875</c:v>
                </c:pt>
                <c:pt idx="82">
                  <c:v>-72.283215120871432</c:v>
                </c:pt>
                <c:pt idx="83">
                  <c:v>-72.273028460541028</c:v>
                </c:pt>
                <c:pt idx="84">
                  <c:v>-72.259277059462221</c:v>
                </c:pt>
                <c:pt idx="85">
                  <c:v>-72.241983157467132</c:v>
                </c:pt>
                <c:pt idx="86">
                  <c:v>-72.221167111939209</c:v>
                </c:pt>
                <c:pt idx="87">
                  <c:v>-72.196847428659396</c:v>
                </c:pt>
                <c:pt idx="88">
                  <c:v>-72.169040789058101</c:v>
                </c:pt>
                <c:pt idx="89">
                  <c:v>-72.137762073971359</c:v>
                </c:pt>
                <c:pt idx="90">
                  <c:v>-72.103024383984945</c:v>
                </c:pt>
                <c:pt idx="91">
                  <c:v>-72.064839056433243</c:v>
                </c:pt>
                <c:pt idx="92">
                  <c:v>-72.023215679107238</c:v>
                </c:pt>
                <c:pt idx="93">
                  <c:v>-71.978162100709113</c:v>
                </c:pt>
                <c:pt idx="94">
                  <c:v>-71.929684438079065</c:v>
                </c:pt>
                <c:pt idx="95">
                  <c:v>-71.877787080203987</c:v>
                </c:pt>
                <c:pt idx="96">
                  <c:v>-71.822472689005153</c:v>
                </c:pt>
                <c:pt idx="97">
                  <c:v>-71.763742196887023</c:v>
                </c:pt>
                <c:pt idx="98">
                  <c:v>-71.70159480101492</c:v>
                </c:pt>
                <c:pt idx="99">
                  <c:v>-71.636027954275221</c:v>
                </c:pt>
                <c:pt idx="100">
                  <c:v>-71.567037352855692</c:v>
                </c:pt>
                <c:pt idx="101">
                  <c:v>-71.494616920368955</c:v>
                </c:pt>
                <c:pt idx="102">
                  <c:v>-71.418758788424043</c:v>
                </c:pt>
                <c:pt idx="103">
                  <c:v>-71.339453273535383</c:v>
                </c:pt>
                <c:pt idx="104">
                  <c:v>-71.25668885023876</c:v>
                </c:pt>
                <c:pt idx="105">
                  <c:v>-71.170452120264699</c:v>
                </c:pt>
                <c:pt idx="106">
                  <c:v>-71.080727777599165</c:v>
                </c:pt>
                <c:pt idx="107">
                  <c:v>-70.987498569238085</c:v>
                </c:pt>
                <c:pt idx="108">
                  <c:v>-70.89074525141784</c:v>
                </c:pt>
                <c:pt idx="109">
                  <c:v>-70.79044654107831</c:v>
                </c:pt>
                <c:pt idx="110">
                  <c:v>-70.686579062284466</c:v>
                </c:pt>
                <c:pt idx="111">
                  <c:v>-70.579117287301855</c:v>
                </c:pt>
                <c:pt idx="112">
                  <c:v>-70.468033471986786</c:v>
                </c:pt>
                <c:pt idx="113">
                  <c:v>-70.35329758511179</c:v>
                </c:pt>
                <c:pt idx="114">
                  <c:v>-70.234877231207278</c:v>
                </c:pt>
                <c:pt idx="115">
                  <c:v>-70.112737566450505</c:v>
                </c:pt>
                <c:pt idx="116">
                  <c:v>-69.986841207082733</c:v>
                </c:pt>
                <c:pt idx="117">
                  <c:v>-69.857148129776178</c:v>
                </c:pt>
                <c:pt idx="118">
                  <c:v>-69.723615563307433</c:v>
                </c:pt>
                <c:pt idx="119">
                  <c:v>-69.58619787082165</c:v>
                </c:pt>
                <c:pt idx="120">
                  <c:v>-69.444846421889466</c:v>
                </c:pt>
                <c:pt idx="121">
                  <c:v>-69.299509453466698</c:v>
                </c:pt>
                <c:pt idx="122">
                  <c:v>-69.150131918763506</c:v>
                </c:pt>
                <c:pt idx="123">
                  <c:v>-68.996655322911508</c:v>
                </c:pt>
                <c:pt idx="124">
                  <c:v>-68.839017544185197</c:v>
                </c:pt>
                <c:pt idx="125">
                  <c:v>-68.677152639382015</c:v>
                </c:pt>
                <c:pt idx="126">
                  <c:v>-68.510990631793661</c:v>
                </c:pt>
                <c:pt idx="127">
                  <c:v>-68.340457280004813</c:v>
                </c:pt>
                <c:pt idx="128">
                  <c:v>-68.165473825529304</c:v>
                </c:pt>
                <c:pt idx="129">
                  <c:v>-67.985956717036643</c:v>
                </c:pt>
                <c:pt idx="130">
                  <c:v>-67.801817308623072</c:v>
                </c:pt>
                <c:pt idx="131">
                  <c:v>-67.612961529238234</c:v>
                </c:pt>
                <c:pt idx="132">
                  <c:v>-67.419289519981191</c:v>
                </c:pt>
                <c:pt idx="133">
                  <c:v>-67.220695235517013</c:v>
                </c:pt>
                <c:pt idx="134">
                  <c:v>-67.017066005327479</c:v>
                </c:pt>
                <c:pt idx="135">
                  <c:v>-66.808282049880631</c:v>
                </c:pt>
                <c:pt idx="136">
                  <c:v>-66.594215946065717</c:v>
                </c:pt>
                <c:pt idx="137">
                  <c:v>-66.37473203537354</c:v>
                </c:pt>
                <c:pt idx="138">
                  <c:v>-66.149685767275315</c:v>
                </c:pt>
                <c:pt idx="139">
                  <c:v>-65.918922969038945</c:v>
                </c:pt>
                <c:pt idx="140">
                  <c:v>-65.682279031773092</c:v>
                </c:pt>
                <c:pt idx="141">
                  <c:v>-65.439578000760463</c:v>
                </c:pt>
                <c:pt idx="142">
                  <c:v>-65.190631556062016</c:v>
                </c:pt>
                <c:pt idx="143">
                  <c:v>-64.93523786686886</c:v>
                </c:pt>
                <c:pt idx="144">
                  <c:v>-64.673180300037856</c:v>
                </c:pt>
                <c:pt idx="145">
                  <c:v>-64.404225959544519</c:v>
                </c:pt>
                <c:pt idx="146">
                  <c:v>-64.128124029048536</c:v>
                </c:pt>
                <c:pt idx="147">
                  <c:v>-63.844603884176344</c:v>
                </c:pt>
                <c:pt idx="148">
                  <c:v>-63.553372934194599</c:v>
                </c:pt>
                <c:pt idx="149">
                  <c:v>-63.254114144098175</c:v>
                </c:pt>
                <c:pt idx="150">
                  <c:v>-62.946483177276143</c:v>
                </c:pt>
                <c:pt idx="151">
                  <c:v>-62.630105085169966</c:v>
                </c:pt>
                <c:pt idx="152">
                  <c:v>-62.304570452814367</c:v>
                </c:pt>
                <c:pt idx="153">
                  <c:v>-61.96943088661618</c:v>
                </c:pt>
                <c:pt idx="154">
                  <c:v>-61.624193701501255</c:v>
                </c:pt>
                <c:pt idx="155">
                  <c:v>-61.268315626292754</c:v>
                </c:pt>
                <c:pt idx="156">
                  <c:v>-60.901195295567646</c:v>
                </c:pt>
                <c:pt idx="157">
                  <c:v>-60.522164228546728</c:v>
                </c:pt>
                <c:pt idx="158">
                  <c:v>-60.130475903967302</c:v>
                </c:pt>
                <c:pt idx="159">
                  <c:v>-59.725292414303695</c:v>
                </c:pt>
                <c:pt idx="160">
                  <c:v>-59.305668008103716</c:v>
                </c:pt>
                <c:pt idx="161">
                  <c:v>-58.870528582703599</c:v>
                </c:pt>
                <c:pt idx="162">
                  <c:v>-58.418645835616132</c:v>
                </c:pt>
                <c:pt idx="163">
                  <c:v>-57.948604265035399</c:v>
                </c:pt>
                <c:pt idx="164">
                  <c:v>-57.458758436402647</c:v>
                </c:pt>
                <c:pt idx="165">
                  <c:v>-56.947176749549065</c:v>
                </c:pt>
                <c:pt idx="166">
                  <c:v>-56.411566085644708</c:v>
                </c:pt>
                <c:pt idx="167">
                  <c:v>-55.849168714825936</c:v>
                </c:pt>
                <c:pt idx="168">
                  <c:v>-55.256617833050782</c:v>
                </c:pt>
                <c:pt idx="169">
                  <c:v>-54.629729383643635</c:v>
                </c:pt>
                <c:pt idx="170">
                  <c:v>-53.963191963579938</c:v>
                </c:pt>
                <c:pt idx="171">
                  <c:v>-53.250086149944387</c:v>
                </c:pt>
                <c:pt idx="172">
                  <c:v>-52.481102065909241</c:v>
                </c:pt>
                <c:pt idx="173">
                  <c:v>-51.643184820790523</c:v>
                </c:pt>
                <c:pt idx="174">
                  <c:v>-50.716993566572256</c:v>
                </c:pt>
                <c:pt idx="175">
                  <c:v>-49.671583647022906</c:v>
                </c:pt>
                <c:pt idx="176">
                  <c:v>-48.451344194384085</c:v>
                </c:pt>
                <c:pt idx="177">
                  <c:v>-46.934211646191955</c:v>
                </c:pt>
                <c:pt idx="178">
                  <c:v>-44.692070745347372</c:v>
                </c:pt>
                <c:pt idx="179">
                  <c:v>-42.513253058307384</c:v>
                </c:pt>
                <c:pt idx="180">
                  <c:v>-42.513253058307384</c:v>
                </c:pt>
                <c:pt idx="181">
                  <c:v>-42.513253058307384</c:v>
                </c:pt>
                <c:pt idx="182">
                  <c:v>-42.513253058307384</c:v>
                </c:pt>
                <c:pt idx="183">
                  <c:v>-42.513253058307384</c:v>
                </c:pt>
                <c:pt idx="184">
                  <c:v>-42.513253058307384</c:v>
                </c:pt>
                <c:pt idx="185">
                  <c:v>-42.513253058307384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D39-4440-9FF5-395D9AC8DD4F}"/>
            </c:ext>
          </c:extLst>
        </c:ser>
        <c:ser>
          <c:idx val="4"/>
          <c:order val="4"/>
          <c:tx>
            <c:v>pos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9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266B-984A-9427-8888F6823915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1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66B-984A-9427-8888F682391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-12.663059250695477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  <c:pt idx="186">
                  <c:v>34.738892287452941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66B-984A-9427-8888F6823915}"/>
            </c:ext>
          </c:extLst>
        </c:ser>
        <c:ser>
          <c:idx val="5"/>
          <c:order val="5"/>
          <c:tx>
            <c:v>sun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16B5-A94A-9BEA-36F714C62772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F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16B5-A94A-9BEA-36F714C62772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8.6066052575746994</c:v>
                </c:pt>
                <c:pt idx="188" formatCode="0.00_ ;[Red]\-0.00\ ">
                  <c:v>-41.748839646970247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50.926548348965106</c:v>
                </c:pt>
                <c:pt idx="1">
                  <c:v>50.926548348965106</c:v>
                </c:pt>
                <c:pt idx="2">
                  <c:v>50.772115661818766</c:v>
                </c:pt>
                <c:pt idx="3">
                  <c:v>50.457090324077427</c:v>
                </c:pt>
                <c:pt idx="4">
                  <c:v>50.142064986336088</c:v>
                </c:pt>
                <c:pt idx="5">
                  <c:v>49.827039648594749</c:v>
                </c:pt>
                <c:pt idx="6">
                  <c:v>49.512014310853409</c:v>
                </c:pt>
                <c:pt idx="7">
                  <c:v>49.19698897311207</c:v>
                </c:pt>
                <c:pt idx="8">
                  <c:v>48.881963635370731</c:v>
                </c:pt>
                <c:pt idx="9">
                  <c:v>48.566938297629392</c:v>
                </c:pt>
                <c:pt idx="10">
                  <c:v>48.251912959888053</c:v>
                </c:pt>
                <c:pt idx="11">
                  <c:v>47.936887622146713</c:v>
                </c:pt>
                <c:pt idx="12">
                  <c:v>47.621862284405374</c:v>
                </c:pt>
                <c:pt idx="13">
                  <c:v>47.306836946664035</c:v>
                </c:pt>
                <c:pt idx="14">
                  <c:v>46.991811608922696</c:v>
                </c:pt>
                <c:pt idx="15">
                  <c:v>46.676786271181356</c:v>
                </c:pt>
                <c:pt idx="16">
                  <c:v>46.361760933440017</c:v>
                </c:pt>
                <c:pt idx="17">
                  <c:v>46.046735595698678</c:v>
                </c:pt>
                <c:pt idx="18">
                  <c:v>45.731710257957339</c:v>
                </c:pt>
                <c:pt idx="19">
                  <c:v>45.416684920215999</c:v>
                </c:pt>
                <c:pt idx="20">
                  <c:v>45.10165958247466</c:v>
                </c:pt>
                <c:pt idx="21">
                  <c:v>44.786634244733321</c:v>
                </c:pt>
                <c:pt idx="22">
                  <c:v>44.471608906991982</c:v>
                </c:pt>
                <c:pt idx="23">
                  <c:v>44.156583569250643</c:v>
                </c:pt>
                <c:pt idx="24">
                  <c:v>43.841558231509303</c:v>
                </c:pt>
                <c:pt idx="25">
                  <c:v>43.526532893767964</c:v>
                </c:pt>
                <c:pt idx="26">
                  <c:v>43.211507556026625</c:v>
                </c:pt>
                <c:pt idx="27">
                  <c:v>42.896482218285286</c:v>
                </c:pt>
                <c:pt idx="28">
                  <c:v>42.581456880543946</c:v>
                </c:pt>
                <c:pt idx="29">
                  <c:v>42.266431542802607</c:v>
                </c:pt>
                <c:pt idx="30">
                  <c:v>41.951406205061268</c:v>
                </c:pt>
                <c:pt idx="31">
                  <c:v>41.636380867319929</c:v>
                </c:pt>
                <c:pt idx="32">
                  <c:v>41.321355529578589</c:v>
                </c:pt>
                <c:pt idx="33">
                  <c:v>41.00633019183725</c:v>
                </c:pt>
                <c:pt idx="34">
                  <c:v>40.691304854095911</c:v>
                </c:pt>
                <c:pt idx="35">
                  <c:v>40.376279516354572</c:v>
                </c:pt>
                <c:pt idx="36">
                  <c:v>40.061254178613233</c:v>
                </c:pt>
                <c:pt idx="37">
                  <c:v>39.746228840871893</c:v>
                </c:pt>
                <c:pt idx="38">
                  <c:v>39.431203503130554</c:v>
                </c:pt>
                <c:pt idx="39">
                  <c:v>39.116178165389215</c:v>
                </c:pt>
                <c:pt idx="40">
                  <c:v>38.801152827647876</c:v>
                </c:pt>
                <c:pt idx="41">
                  <c:v>38.486127489906536</c:v>
                </c:pt>
                <c:pt idx="42">
                  <c:v>38.171102152165197</c:v>
                </c:pt>
                <c:pt idx="43">
                  <c:v>37.856076814423858</c:v>
                </c:pt>
                <c:pt idx="44">
                  <c:v>37.541051476682519</c:v>
                </c:pt>
                <c:pt idx="45">
                  <c:v>37.22602613894118</c:v>
                </c:pt>
                <c:pt idx="46">
                  <c:v>36.91100080119984</c:v>
                </c:pt>
                <c:pt idx="47">
                  <c:v>36.595975463458501</c:v>
                </c:pt>
                <c:pt idx="48">
                  <c:v>36.280950125717162</c:v>
                </c:pt>
                <c:pt idx="49">
                  <c:v>35.965924787975823</c:v>
                </c:pt>
                <c:pt idx="50">
                  <c:v>35.650899450234483</c:v>
                </c:pt>
                <c:pt idx="51">
                  <c:v>35.335874112493144</c:v>
                </c:pt>
                <c:pt idx="52">
                  <c:v>35.020848774751805</c:v>
                </c:pt>
                <c:pt idx="53">
                  <c:v>34.705823437010466</c:v>
                </c:pt>
                <c:pt idx="54">
                  <c:v>34.390798099269126</c:v>
                </c:pt>
                <c:pt idx="55">
                  <c:v>34.075772761527787</c:v>
                </c:pt>
                <c:pt idx="56">
                  <c:v>33.760747423786448</c:v>
                </c:pt>
                <c:pt idx="57">
                  <c:v>33.445722086045109</c:v>
                </c:pt>
                <c:pt idx="58">
                  <c:v>33.13069674830377</c:v>
                </c:pt>
                <c:pt idx="59">
                  <c:v>32.81567141056243</c:v>
                </c:pt>
                <c:pt idx="60">
                  <c:v>32.500646072821091</c:v>
                </c:pt>
                <c:pt idx="61">
                  <c:v>32.185620735079752</c:v>
                </c:pt>
                <c:pt idx="62">
                  <c:v>31.870595397338416</c:v>
                </c:pt>
                <c:pt idx="63">
                  <c:v>31.555570059597081</c:v>
                </c:pt>
                <c:pt idx="64">
                  <c:v>31.240544721855745</c:v>
                </c:pt>
                <c:pt idx="65">
                  <c:v>30.925519384114409</c:v>
                </c:pt>
                <c:pt idx="66">
                  <c:v>30.610494046373073</c:v>
                </c:pt>
                <c:pt idx="67">
                  <c:v>30.295468708631738</c:v>
                </c:pt>
                <c:pt idx="68">
                  <c:v>29.980443370890402</c:v>
                </c:pt>
                <c:pt idx="69">
                  <c:v>29.665418033149066</c:v>
                </c:pt>
                <c:pt idx="70">
                  <c:v>29.350392695407731</c:v>
                </c:pt>
                <c:pt idx="71">
                  <c:v>29.035367357666395</c:v>
                </c:pt>
                <c:pt idx="72">
                  <c:v>28.720342019925059</c:v>
                </c:pt>
                <c:pt idx="73">
                  <c:v>28.405316682183724</c:v>
                </c:pt>
                <c:pt idx="74">
                  <c:v>28.090291344442388</c:v>
                </c:pt>
                <c:pt idx="75">
                  <c:v>27.775266006701052</c:v>
                </c:pt>
                <c:pt idx="76">
                  <c:v>27.460240668959717</c:v>
                </c:pt>
                <c:pt idx="77">
                  <c:v>27.145215331218381</c:v>
                </c:pt>
                <c:pt idx="78">
                  <c:v>26.830189993477045</c:v>
                </c:pt>
                <c:pt idx="79">
                  <c:v>26.51516465573571</c:v>
                </c:pt>
                <c:pt idx="80">
                  <c:v>26.200139317994374</c:v>
                </c:pt>
                <c:pt idx="81">
                  <c:v>25.885113980253038</c:v>
                </c:pt>
                <c:pt idx="82">
                  <c:v>25.570088642511703</c:v>
                </c:pt>
                <c:pt idx="83">
                  <c:v>25.255063304770367</c:v>
                </c:pt>
                <c:pt idx="84">
                  <c:v>24.940037967029031</c:v>
                </c:pt>
                <c:pt idx="85">
                  <c:v>24.625012629287696</c:v>
                </c:pt>
                <c:pt idx="86">
                  <c:v>24.30998729154636</c:v>
                </c:pt>
                <c:pt idx="87">
                  <c:v>23.994961953805024</c:v>
                </c:pt>
                <c:pt idx="88">
                  <c:v>23.679936616063689</c:v>
                </c:pt>
                <c:pt idx="89">
                  <c:v>23.364911278322353</c:v>
                </c:pt>
                <c:pt idx="90">
                  <c:v>23.049885940581017</c:v>
                </c:pt>
                <c:pt idx="91">
                  <c:v>22.734860602839682</c:v>
                </c:pt>
                <c:pt idx="92">
                  <c:v>22.419835265098346</c:v>
                </c:pt>
                <c:pt idx="93">
                  <c:v>22.10480992735701</c:v>
                </c:pt>
                <c:pt idx="94">
                  <c:v>21.789784589615675</c:v>
                </c:pt>
                <c:pt idx="95">
                  <c:v>21.474759251874339</c:v>
                </c:pt>
                <c:pt idx="96">
                  <c:v>21.159733914133003</c:v>
                </c:pt>
                <c:pt idx="97">
                  <c:v>20.844708576391668</c:v>
                </c:pt>
                <c:pt idx="98">
                  <c:v>20.529683238650332</c:v>
                </c:pt>
                <c:pt idx="99">
                  <c:v>20.214657900908996</c:v>
                </c:pt>
                <c:pt idx="100">
                  <c:v>19.89963256316766</c:v>
                </c:pt>
                <c:pt idx="101">
                  <c:v>19.584607225426325</c:v>
                </c:pt>
                <c:pt idx="102">
                  <c:v>19.269581887684989</c:v>
                </c:pt>
                <c:pt idx="103">
                  <c:v>18.954556549943653</c:v>
                </c:pt>
                <c:pt idx="104">
                  <c:v>18.639531212202318</c:v>
                </c:pt>
                <c:pt idx="105">
                  <c:v>18.324505874460982</c:v>
                </c:pt>
                <c:pt idx="106">
                  <c:v>18.009480536719646</c:v>
                </c:pt>
                <c:pt idx="107">
                  <c:v>17.694455198978311</c:v>
                </c:pt>
                <c:pt idx="108">
                  <c:v>17.379429861236975</c:v>
                </c:pt>
                <c:pt idx="109">
                  <c:v>17.064404523495639</c:v>
                </c:pt>
                <c:pt idx="110">
                  <c:v>16.749379185754304</c:v>
                </c:pt>
                <c:pt idx="111">
                  <c:v>16.434353848012968</c:v>
                </c:pt>
                <c:pt idx="112">
                  <c:v>16.119328510271632</c:v>
                </c:pt>
                <c:pt idx="113">
                  <c:v>15.804303172530295</c:v>
                </c:pt>
                <c:pt idx="114">
                  <c:v>15.489277834788957</c:v>
                </c:pt>
                <c:pt idx="115">
                  <c:v>15.17425249704762</c:v>
                </c:pt>
                <c:pt idx="116">
                  <c:v>14.859227159306283</c:v>
                </c:pt>
                <c:pt idx="117">
                  <c:v>14.544201821564945</c:v>
                </c:pt>
                <c:pt idx="118">
                  <c:v>14.229176483823608</c:v>
                </c:pt>
                <c:pt idx="119">
                  <c:v>13.91415114608227</c:v>
                </c:pt>
                <c:pt idx="120">
                  <c:v>13.599125808340933</c:v>
                </c:pt>
                <c:pt idx="121">
                  <c:v>13.284100470599595</c:v>
                </c:pt>
                <c:pt idx="122">
                  <c:v>12.969075132858258</c:v>
                </c:pt>
                <c:pt idx="123">
                  <c:v>12.65404979511692</c:v>
                </c:pt>
                <c:pt idx="124">
                  <c:v>12.339024457375583</c:v>
                </c:pt>
                <c:pt idx="125">
                  <c:v>12.023999119634246</c:v>
                </c:pt>
                <c:pt idx="126">
                  <c:v>11.708973781892908</c:v>
                </c:pt>
                <c:pt idx="127">
                  <c:v>11.393948444151571</c:v>
                </c:pt>
                <c:pt idx="128">
                  <c:v>11.078923106410233</c:v>
                </c:pt>
                <c:pt idx="129">
                  <c:v>10.763897768668896</c:v>
                </c:pt>
                <c:pt idx="130">
                  <c:v>10.448872430927558</c:v>
                </c:pt>
                <c:pt idx="131">
                  <c:v>10.133847093186221</c:v>
                </c:pt>
                <c:pt idx="132">
                  <c:v>9.8188217554448833</c:v>
                </c:pt>
                <c:pt idx="133">
                  <c:v>9.5037964177035459</c:v>
                </c:pt>
                <c:pt idx="134">
                  <c:v>9.1887710799622084</c:v>
                </c:pt>
                <c:pt idx="135">
                  <c:v>8.873745742220871</c:v>
                </c:pt>
                <c:pt idx="136">
                  <c:v>8.5587204044795335</c:v>
                </c:pt>
                <c:pt idx="137">
                  <c:v>8.2436950667381961</c:v>
                </c:pt>
                <c:pt idx="138">
                  <c:v>7.9286697289968586</c:v>
                </c:pt>
                <c:pt idx="139">
                  <c:v>7.6136443912555212</c:v>
                </c:pt>
                <c:pt idx="140">
                  <c:v>7.2986190535141837</c:v>
                </c:pt>
                <c:pt idx="141">
                  <c:v>6.9835937157728463</c:v>
                </c:pt>
                <c:pt idx="142">
                  <c:v>6.6685683780315088</c:v>
                </c:pt>
                <c:pt idx="143">
                  <c:v>6.3535430402901714</c:v>
                </c:pt>
                <c:pt idx="144">
                  <c:v>6.0385177025488339</c:v>
                </c:pt>
                <c:pt idx="145">
                  <c:v>5.7234923648074965</c:v>
                </c:pt>
                <c:pt idx="146">
                  <c:v>5.408467027066159</c:v>
                </c:pt>
                <c:pt idx="147">
                  <c:v>5.0934416893248216</c:v>
                </c:pt>
                <c:pt idx="148">
                  <c:v>4.7784163515834841</c:v>
                </c:pt>
                <c:pt idx="149">
                  <c:v>4.4633910138421466</c:v>
                </c:pt>
                <c:pt idx="150">
                  <c:v>4.1483656761008092</c:v>
                </c:pt>
                <c:pt idx="151">
                  <c:v>3.8333403383594717</c:v>
                </c:pt>
                <c:pt idx="152">
                  <c:v>3.5183150006181343</c:v>
                </c:pt>
                <c:pt idx="153">
                  <c:v>3.2032896628767968</c:v>
                </c:pt>
                <c:pt idx="154">
                  <c:v>2.8882643251354594</c:v>
                </c:pt>
                <c:pt idx="155">
                  <c:v>2.5732389873941219</c:v>
                </c:pt>
                <c:pt idx="156">
                  <c:v>2.2582136496527845</c:v>
                </c:pt>
                <c:pt idx="157">
                  <c:v>1.943188311911447</c:v>
                </c:pt>
                <c:pt idx="158">
                  <c:v>1.6281629741701096</c:v>
                </c:pt>
                <c:pt idx="159">
                  <c:v>1.3131376364287721</c:v>
                </c:pt>
                <c:pt idx="160">
                  <c:v>0.99811229868743467</c:v>
                </c:pt>
                <c:pt idx="161">
                  <c:v>0.68308696094609722</c:v>
                </c:pt>
                <c:pt idx="162">
                  <c:v>0.36806162320475982</c:v>
                </c:pt>
                <c:pt idx="163">
                  <c:v>5.3036285463422428E-2</c:v>
                </c:pt>
                <c:pt idx="164">
                  <c:v>-0.26198905227791497</c:v>
                </c:pt>
                <c:pt idx="165">
                  <c:v>-0.57701439001925237</c:v>
                </c:pt>
                <c:pt idx="166">
                  <c:v>-0.89203972776058982</c:v>
                </c:pt>
                <c:pt idx="167">
                  <c:v>-1.2070650655019273</c:v>
                </c:pt>
                <c:pt idx="168">
                  <c:v>-1.5220904032432647</c:v>
                </c:pt>
                <c:pt idx="169">
                  <c:v>-1.8371157409846022</c:v>
                </c:pt>
                <c:pt idx="170">
                  <c:v>-2.1521410787259394</c:v>
                </c:pt>
                <c:pt idx="171">
                  <c:v>-2.4671664164672769</c:v>
                </c:pt>
                <c:pt idx="172">
                  <c:v>-2.7821917542086143</c:v>
                </c:pt>
                <c:pt idx="173">
                  <c:v>-3.0972170919499518</c:v>
                </c:pt>
                <c:pt idx="174">
                  <c:v>-3.4122424296912892</c:v>
                </c:pt>
                <c:pt idx="175">
                  <c:v>-3.7272677674326267</c:v>
                </c:pt>
                <c:pt idx="176">
                  <c:v>-4.0422931051739637</c:v>
                </c:pt>
                <c:pt idx="177">
                  <c:v>-4.3573184429153011</c:v>
                </c:pt>
                <c:pt idx="178">
                  <c:v>-4.6723437806566386</c:v>
                </c:pt>
                <c:pt idx="179">
                  <c:v>-4.8109321746560827</c:v>
                </c:pt>
                <c:pt idx="180">
                  <c:v>-4.8109321746560827</c:v>
                </c:pt>
                <c:pt idx="181">
                  <c:v>-4.8109321746560827</c:v>
                </c:pt>
                <c:pt idx="182">
                  <c:v>-4.8109321746560827</c:v>
                </c:pt>
                <c:pt idx="183">
                  <c:v>-4.8109321746560827</c:v>
                </c:pt>
                <c:pt idx="184">
                  <c:v>-4.8109321746560827</c:v>
                </c:pt>
                <c:pt idx="185">
                  <c:v>-4.8109321746560827</c:v>
                </c:pt>
                <c:pt idx="186">
                  <c:v>34.738892287452941</c:v>
                </c:pt>
                <c:pt idx="187" formatCode="0.00_ ;[Red]\-0.00\ ">
                  <c:v>23.047685940581083</c:v>
                </c:pt>
                <c:pt idx="188" formatCode="0.00_ ;[Red]\-0.00\ ">
                  <c:v>23.057808087154509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6B5-A94A-9BEA-36F714C62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90"/>
        <c:minorUnit val="10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38</xdr:row>
      <xdr:rowOff>25400</xdr:rowOff>
    </xdr:from>
    <xdr:to>
      <xdr:col>14</xdr:col>
      <xdr:colOff>0</xdr:colOff>
      <xdr:row>64</xdr:row>
      <xdr:rowOff>190500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A63F015-7B30-BE48-A546-2D9B03B666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165100</xdr:colOff>
      <xdr:row>38</xdr:row>
      <xdr:rowOff>12700</xdr:rowOff>
    </xdr:from>
    <xdr:to>
      <xdr:col>22</xdr:col>
      <xdr:colOff>12700</xdr:colOff>
      <xdr:row>65</xdr:row>
      <xdr:rowOff>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AE6A0E68-3AA7-0440-91E6-96E74C4464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881082" y="447741"/>
          <a:ext cx="1434787" cy="4905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0.91289</cdr:x>
      <cdr:y>0.44653</cdr:y>
    </cdr:from>
    <cdr:to>
      <cdr:x>0.96736</cdr:x>
      <cdr:y>0.51066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10005352" y="2432846"/>
          <a:ext cx="596997" cy="349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0.47654</cdr:x>
      <cdr:y>0.03727</cdr:y>
    </cdr:from>
    <cdr:to>
      <cdr:x>0.5753</cdr:x>
      <cdr:y>0.08504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5222954" y="203069"/>
          <a:ext cx="1082420" cy="2602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0.04877</cdr:x>
      <cdr:y>0.43675</cdr:y>
    </cdr:from>
    <cdr:to>
      <cdr:x>0.14754</cdr:x>
      <cdr:y>0.48452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534497" y="2379545"/>
          <a:ext cx="1082529" cy="2602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0.48218</cdr:x>
      <cdr:y>0.90502</cdr:y>
    </cdr:from>
    <cdr:to>
      <cdr:x>0.58094</cdr:x>
      <cdr:y>0.96227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5284687" y="4930815"/>
          <a:ext cx="1082419" cy="3119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0.15031</cdr:x>
      <cdr:y>0.4456</cdr:y>
    </cdr:from>
    <cdr:to>
      <cdr:x>0.32753</cdr:x>
      <cdr:y>0.48264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943022" y="2263648"/>
          <a:ext cx="1111843" cy="1881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0.04788</cdr:x>
      <cdr:y>0.50897</cdr:y>
    </cdr:from>
    <cdr:to>
      <cdr:x>0.95464</cdr:x>
      <cdr:y>0.50897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524742" y="2773027"/>
          <a:ext cx="9938181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6</xdr:row>
      <xdr:rowOff>0</xdr:rowOff>
    </xdr:from>
    <xdr:to>
      <xdr:col>8</xdr:col>
      <xdr:colOff>0</xdr:colOff>
      <xdr:row>33</xdr:row>
      <xdr:rowOff>12700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B4F5AAF-3A85-3C4E-A6E4-FED0AF842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215900</xdr:colOff>
      <xdr:row>2</xdr:row>
      <xdr:rowOff>127000</xdr:rowOff>
    </xdr:from>
    <xdr:to>
      <xdr:col>10</xdr:col>
      <xdr:colOff>723900</xdr:colOff>
      <xdr:row>27</xdr:row>
      <xdr:rowOff>101600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1BCAB90-EC4B-6848-996B-A9004E778B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431863" y="446462"/>
          <a:ext cx="703262" cy="4890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0.88851</cdr:x>
      <cdr:y>0.42974</cdr:y>
    </cdr:from>
    <cdr:to>
      <cdr:x>0.98727</cdr:x>
      <cdr:y>0.47751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176667" y="2226754"/>
          <a:ext cx="797705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0.49355</cdr:x>
      <cdr:y>0.03261</cdr:y>
    </cdr:from>
    <cdr:to>
      <cdr:x>0.59231</cdr:x>
      <cdr:y>0.08038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099303" y="168972"/>
          <a:ext cx="820281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0.09205</cdr:x>
      <cdr:y>0.42963</cdr:y>
    </cdr:from>
    <cdr:to>
      <cdr:x>0.19081</cdr:x>
      <cdr:y>0.4774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43469" y="2226184"/>
          <a:ext cx="797704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0.50281</cdr:x>
      <cdr:y>0.89102</cdr:y>
    </cdr:from>
    <cdr:to>
      <cdr:x>0.60157</cdr:x>
      <cdr:y>0.94827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4176275" y="4616923"/>
          <a:ext cx="820281" cy="296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0.23938</cdr:x>
      <cdr:y>0.4156</cdr:y>
    </cdr:from>
    <cdr:to>
      <cdr:x>0.4166</cdr:x>
      <cdr:y>0.45264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1289029" y="1338884"/>
          <a:ext cx="954295" cy="119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0.09123</cdr:x>
      <cdr:y>0.4995</cdr:y>
    </cdr:from>
    <cdr:to>
      <cdr:x>0.94938</cdr:x>
      <cdr:y>0.4995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757707" y="2588209"/>
          <a:ext cx="7127622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811C1-6476-9748-8E8F-8F37BC682E30}">
  <dimension ref="A1:AG80"/>
  <sheetViews>
    <sheetView showGridLines="0" showRowColHeaders="0" tabSelected="1" zoomScaleNormal="100" workbookViewId="0">
      <selection activeCell="D6" sqref="D6:G6"/>
    </sheetView>
  </sheetViews>
  <sheetFormatPr baseColWidth="10" defaultRowHeight="16"/>
  <cols>
    <col min="1" max="1" width="4.33203125" customWidth="1"/>
    <col min="2" max="2" width="25.33203125" customWidth="1"/>
    <col min="3" max="4" width="7.83203125" customWidth="1"/>
    <col min="5" max="5" width="4.33203125" customWidth="1"/>
    <col min="6" max="8" width="7.83203125" customWidth="1"/>
    <col min="9" max="9" width="4.33203125" customWidth="1"/>
    <col min="10" max="15" width="11.83203125" customWidth="1"/>
    <col min="16" max="16" width="4.33203125" customWidth="1"/>
    <col min="19" max="19" width="4.33203125" customWidth="1"/>
    <col min="20" max="22" width="11.83203125" customWidth="1"/>
    <col min="23" max="23" width="10.83203125" customWidth="1"/>
    <col min="24" max="24" width="4.33203125" customWidth="1"/>
    <col min="25" max="25" width="12.1640625" bestFit="1" customWidth="1"/>
    <col min="27" max="27" width="10.83203125" customWidth="1"/>
  </cols>
  <sheetData>
    <row r="1" spans="1:26">
      <c r="A1" s="3"/>
      <c r="B1" s="3"/>
      <c r="C1" s="3"/>
      <c r="D1" s="3"/>
      <c r="E1" s="3"/>
      <c r="F1" s="3"/>
      <c r="G1" s="3"/>
      <c r="H1" s="15"/>
      <c r="I1" s="1"/>
      <c r="J1" s="1"/>
      <c r="K1" s="1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6" ht="27">
      <c r="A2" s="3"/>
      <c r="B2" s="212" t="s">
        <v>104</v>
      </c>
      <c r="C2" s="5"/>
      <c r="D2" s="5"/>
      <c r="E2" s="3"/>
      <c r="F2" s="3"/>
      <c r="G2" s="3"/>
      <c r="H2" s="3"/>
      <c r="I2" s="1"/>
      <c r="J2" s="349" t="s">
        <v>147</v>
      </c>
      <c r="K2" s="351"/>
      <c r="L2" s="350"/>
      <c r="M2" s="7"/>
      <c r="N2" s="7"/>
      <c r="R2" s="104"/>
      <c r="S2" s="7"/>
      <c r="T2" s="7"/>
      <c r="U2" s="7"/>
      <c r="V2" s="7"/>
      <c r="W2" s="7"/>
      <c r="X2" s="7"/>
      <c r="Y2" s="7"/>
      <c r="Z2" s="7"/>
    </row>
    <row r="3" spans="1:26">
      <c r="A3" s="3"/>
      <c r="B3" s="3" t="s">
        <v>146</v>
      </c>
      <c r="C3" s="3"/>
      <c r="D3" s="3"/>
      <c r="E3" s="3"/>
      <c r="F3" s="3"/>
      <c r="G3" s="3"/>
      <c r="H3" s="3"/>
      <c r="I3" s="1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 spans="1:26" ht="27">
      <c r="A4" s="3"/>
      <c r="B4" s="3"/>
      <c r="C4" s="3"/>
      <c r="D4" s="81"/>
      <c r="E4" s="3"/>
      <c r="F4" s="82"/>
      <c r="G4" s="82"/>
      <c r="H4" s="3"/>
      <c r="I4" s="1"/>
      <c r="J4" s="1"/>
      <c r="K4" s="1"/>
      <c r="L4" s="1"/>
      <c r="M4" s="1"/>
      <c r="N4" s="1"/>
    </row>
    <row r="5" spans="1:26" ht="20" thickBot="1">
      <c r="A5" s="8"/>
      <c r="B5" s="10" t="s">
        <v>95</v>
      </c>
      <c r="C5" s="46"/>
      <c r="D5" s="47"/>
      <c r="E5" s="47"/>
      <c r="F5" s="17"/>
      <c r="G5" s="17"/>
      <c r="H5" s="67" t="str">
        <f>IF(OR(AND(H6="O",OR(H7="O",H7="U")),AND(H6="U",OR(H7="O",H7="U")))=TRUE," ","ERROR")</f>
        <v xml:space="preserve"> </v>
      </c>
      <c r="I5" s="13"/>
      <c r="J5" s="29" t="s">
        <v>143</v>
      </c>
      <c r="K5" s="13"/>
      <c r="L5" s="13"/>
      <c r="M5" s="13"/>
      <c r="N5" s="13"/>
      <c r="O5" s="13"/>
      <c r="P5" s="13"/>
      <c r="Q5" s="48" t="s">
        <v>102</v>
      </c>
      <c r="R5" s="49"/>
      <c r="S5" s="8"/>
      <c r="T5" s="48" t="s">
        <v>112</v>
      </c>
      <c r="U5" s="8"/>
      <c r="V5" s="64"/>
      <c r="W5" s="64"/>
      <c r="X5" s="64"/>
    </row>
    <row r="6" spans="1:26" ht="17" thickBot="1">
      <c r="A6" s="3"/>
      <c r="B6" s="22" t="s">
        <v>7</v>
      </c>
      <c r="C6" s="36">
        <v>-1.2</v>
      </c>
      <c r="D6" s="384" t="s">
        <v>140</v>
      </c>
      <c r="E6" s="385"/>
      <c r="F6" s="385"/>
      <c r="G6" s="386"/>
      <c r="H6" s="39" t="s">
        <v>11</v>
      </c>
      <c r="I6" s="1"/>
      <c r="J6" s="31"/>
      <c r="K6" s="32"/>
      <c r="L6" s="387" t="s">
        <v>49</v>
      </c>
      <c r="M6" s="388"/>
      <c r="N6" s="387" t="s">
        <v>50</v>
      </c>
      <c r="O6" s="388"/>
      <c r="P6" s="1"/>
      <c r="Q6" s="59" t="s">
        <v>105</v>
      </c>
      <c r="R6" s="60" t="s">
        <v>6</v>
      </c>
      <c r="S6" s="1"/>
      <c r="T6" s="427" t="s">
        <v>172</v>
      </c>
      <c r="U6" s="428">
        <f>IF(C8="N",1,IF(C8="S",-1,0))*SIGN(d)*IF(AND(ot_&lt;ot,(dat_+ot_-dat-ot)&gt;0.4),-1,1)</f>
        <v>1</v>
      </c>
      <c r="V6" s="361"/>
      <c r="W6" s="373"/>
      <c r="X6" s="64"/>
    </row>
    <row r="7" spans="1:26" ht="17" thickBot="1">
      <c r="A7" s="3"/>
      <c r="B7" s="23" t="s">
        <v>8</v>
      </c>
      <c r="C7" s="37">
        <v>-1.2</v>
      </c>
      <c r="D7" s="389" t="s">
        <v>141</v>
      </c>
      <c r="E7" s="390"/>
      <c r="F7" s="390"/>
      <c r="G7" s="391"/>
      <c r="H7" s="40" t="s">
        <v>11</v>
      </c>
      <c r="I7" s="1"/>
      <c r="J7" s="56"/>
      <c r="K7" s="51" t="s">
        <v>12</v>
      </c>
      <c r="L7" s="84">
        <f>G14+H14/60</f>
        <v>68.06</v>
      </c>
      <c r="M7" s="53"/>
      <c r="N7" s="84">
        <f>G22+H22/60</f>
        <v>61.93</v>
      </c>
      <c r="O7" s="53"/>
      <c r="P7" s="1"/>
      <c r="Q7" s="194">
        <v>1</v>
      </c>
      <c r="R7" s="195">
        <v>0.3</v>
      </c>
      <c r="S7" s="1"/>
      <c r="T7" s="429"/>
      <c r="U7" s="430"/>
      <c r="V7" s="362"/>
      <c r="W7" s="103"/>
      <c r="X7" s="64"/>
    </row>
    <row r="8" spans="1:26" ht="17" thickBot="1">
      <c r="A8" s="216"/>
      <c r="B8" s="38" t="s">
        <v>111</v>
      </c>
      <c r="C8" s="217" t="s">
        <v>145</v>
      </c>
      <c r="D8" s="395" t="s">
        <v>3</v>
      </c>
      <c r="E8" s="396"/>
      <c r="F8" s="397"/>
      <c r="G8" s="41">
        <v>2.2000000000000002</v>
      </c>
      <c r="H8" s="65" t="s">
        <v>148</v>
      </c>
      <c r="I8" s="1"/>
      <c r="J8" s="57"/>
      <c r="K8" s="52" t="s">
        <v>13</v>
      </c>
      <c r="L8" s="85">
        <f>16-(55*TAN(RADIANS(90-L7))/60-55/1000*(TAN(RADIANS(90-L7)))^3/60+1.777*SQRT(G8))</f>
        <v>12.995101750863645</v>
      </c>
      <c r="M8" s="54"/>
      <c r="N8" s="85">
        <f>IF((16-(55*TAN(RADIANS(90-N7))/60-55/1000*(TAN(RADIANS(90-N7)))^3/60+1.777*SQRT(G8)))&lt;33,16-(55*TAN(RADIANS(90-N7))/60-55/1000*(TAN(RADIANS(90-N7)))^3/60+1.777*SQRT(G8)),0)</f>
        <v>12.87558429136441</v>
      </c>
      <c r="O8" s="54"/>
      <c r="P8" s="1"/>
      <c r="Q8" s="196">
        <f t="shared" ref="Q8:Q18" si="0">1+Q7</f>
        <v>2</v>
      </c>
      <c r="R8" s="197">
        <v>0.2</v>
      </c>
      <c r="S8" s="1"/>
      <c r="T8" s="78" t="s">
        <v>24</v>
      </c>
      <c r="U8" s="79" t="s">
        <v>4</v>
      </c>
      <c r="V8" s="363" t="s">
        <v>45</v>
      </c>
      <c r="W8" s="80" t="s">
        <v>151</v>
      </c>
      <c r="X8" s="64"/>
    </row>
    <row r="9" spans="1:26" ht="19">
      <c r="A9" s="3"/>
      <c r="B9" s="3"/>
      <c r="C9" s="72" t="str">
        <f>IF(OR(C8="N",C8="S")," ","N oder S eingeben!")</f>
        <v xml:space="preserve"> </v>
      </c>
      <c r="D9" s="8"/>
      <c r="E9" s="8"/>
      <c r="F9" s="8"/>
      <c r="G9" s="8"/>
      <c r="H9" s="3"/>
      <c r="I9" s="1"/>
      <c r="J9" s="57"/>
      <c r="K9" s="52" t="s">
        <v>14</v>
      </c>
      <c r="L9" s="86">
        <f>IF(H6="U",DGET(Q6:R18,2,R19:R20),IF(H6="O",-(32+DGET(Q6:R18,2,R19:R20)),#N/A))</f>
        <v>-0.2</v>
      </c>
      <c r="M9" s="54"/>
      <c r="N9" s="86">
        <f>IF(H7="U",DGET(Q6:R18,2,R19:R20),IF(H7="O",-(32+DGET(Q6:R18,2,R19:R20))&gt;33,#N/A))</f>
        <v>-0.2</v>
      </c>
      <c r="O9" s="54"/>
      <c r="P9" s="1"/>
      <c r="Q9" s="196">
        <f t="shared" si="0"/>
        <v>3</v>
      </c>
      <c r="R9" s="197">
        <v>0.1</v>
      </c>
      <c r="S9" s="1"/>
      <c r="T9" s="331" t="s">
        <v>39</v>
      </c>
      <c r="U9" s="328">
        <f t="shared" ref="U9:U22" si="1">DEGREES(V9)</f>
        <v>-309.64455509545508</v>
      </c>
      <c r="V9" s="364">
        <f>IF(C21="Zwischenzeit!","X",grt_-grt)</f>
        <v>-5.4043169972886753</v>
      </c>
      <c r="W9" s="374" t="s">
        <v>152</v>
      </c>
      <c r="X9" s="64"/>
    </row>
    <row r="10" spans="1:26">
      <c r="A10" s="3"/>
      <c r="B10" s="3"/>
      <c r="D10" s="3"/>
      <c r="E10" s="3"/>
      <c r="F10" s="3"/>
      <c r="G10" s="3"/>
      <c r="H10" s="3"/>
      <c r="I10" s="1"/>
      <c r="J10" s="57"/>
      <c r="K10" s="52" t="s">
        <v>15</v>
      </c>
      <c r="L10" s="86">
        <f>C6</f>
        <v>-1.2</v>
      </c>
      <c r="M10" s="54"/>
      <c r="N10" s="86">
        <f>C7</f>
        <v>-1.2</v>
      </c>
      <c r="O10" s="54"/>
      <c r="P10" s="1"/>
      <c r="Q10" s="196">
        <f t="shared" si="0"/>
        <v>4</v>
      </c>
      <c r="R10" s="197">
        <v>0</v>
      </c>
      <c r="S10" s="1"/>
      <c r="T10" s="338" t="s">
        <v>28</v>
      </c>
      <c r="U10" s="328">
        <f t="shared" si="1"/>
        <v>33.709796529819698</v>
      </c>
      <c r="V10" s="365">
        <f>ATAN(TAN(d_)/COS(q))</f>
        <v>0.58834693962271256</v>
      </c>
      <c r="W10" s="375" t="s">
        <v>153</v>
      </c>
      <c r="X10" s="64"/>
    </row>
    <row r="11" spans="1:26" ht="17">
      <c r="A11" s="3"/>
      <c r="B11" s="10" t="s">
        <v>96</v>
      </c>
      <c r="C11" s="10"/>
      <c r="D11" s="10"/>
      <c r="E11" s="8"/>
      <c r="F11" s="8"/>
      <c r="G11" s="11"/>
      <c r="H11" s="11"/>
      <c r="I11" s="1"/>
      <c r="J11" s="57"/>
      <c r="K11" s="52" t="s">
        <v>17</v>
      </c>
      <c r="L11" s="87">
        <f>L7+(L8+L9+L10)/60</f>
        <v>68.253251695847723</v>
      </c>
      <c r="M11" s="89"/>
      <c r="N11" s="87">
        <f>N7+(N8+N9+N10)/60</f>
        <v>62.121259738189408</v>
      </c>
      <c r="O11" s="89"/>
      <c r="P11" s="1"/>
      <c r="Q11" s="196">
        <f t="shared" si="0"/>
        <v>5</v>
      </c>
      <c r="R11" s="197">
        <v>-0.2</v>
      </c>
      <c r="S11" s="1"/>
      <c r="T11" s="75" t="s">
        <v>37</v>
      </c>
      <c r="U11" s="328">
        <f t="shared" si="1"/>
        <v>79.55823078903336</v>
      </c>
      <c r="V11" s="366">
        <f>ATAN(COS(F)*TAN(q)/SIN(F-d))</f>
        <v>1.3885530743301582</v>
      </c>
      <c r="W11" s="376" t="s">
        <v>154</v>
      </c>
      <c r="X11" s="64"/>
    </row>
    <row r="12" spans="1:26">
      <c r="A12" s="3"/>
      <c r="B12" s="42" t="s">
        <v>0</v>
      </c>
      <c r="C12" s="43"/>
      <c r="D12" s="19"/>
      <c r="E12" s="19"/>
      <c r="F12" s="44" t="s">
        <v>150</v>
      </c>
      <c r="G12" s="402">
        <v>45818</v>
      </c>
      <c r="H12" s="403"/>
      <c r="I12" s="1"/>
      <c r="J12" s="57"/>
      <c r="K12" s="52" t="s">
        <v>18</v>
      </c>
      <c r="L12" s="88">
        <f>INT(L11)</f>
        <v>68</v>
      </c>
      <c r="M12" s="55">
        <f>(L11-L12)*60</f>
        <v>15.195101750863387</v>
      </c>
      <c r="N12" s="88">
        <f>INT(N11)</f>
        <v>62</v>
      </c>
      <c r="O12" s="55">
        <f>(N11-N12)*60</f>
        <v>7.2755842913645097</v>
      </c>
      <c r="P12" s="1"/>
      <c r="Q12" s="196">
        <f t="shared" si="0"/>
        <v>6</v>
      </c>
      <c r="R12" s="197">
        <v>-0.2</v>
      </c>
      <c r="S12" s="1"/>
      <c r="T12" s="75" t="s">
        <v>29</v>
      </c>
      <c r="U12" s="328">
        <f t="shared" si="1"/>
        <v>26.067576787079439</v>
      </c>
      <c r="V12" s="366">
        <f>P*ACOS((COS(V)*TAN(h)/TAN(F-d))*(SIN(h_)*SIN(F)/SIN(h)/SIN(d_)/COS(F-d)-1))</f>
        <v>0.45496504295098106</v>
      </c>
      <c r="W12" s="376" t="s">
        <v>155</v>
      </c>
      <c r="X12" s="64"/>
    </row>
    <row r="13" spans="1:26" ht="17" thickBot="1">
      <c r="A13" s="3"/>
      <c r="B13" s="42" t="s">
        <v>1</v>
      </c>
      <c r="C13" s="43"/>
      <c r="D13" s="19"/>
      <c r="E13" s="19"/>
      <c r="F13" s="44" t="str">
        <f>IF(ISNUMBER(G13)=TRUE,"hh:mm:ss: "," Syntax !!! ")</f>
        <v xml:space="preserve">hh:mm:ss: </v>
      </c>
      <c r="G13" s="400">
        <v>0.47576388888888888</v>
      </c>
      <c r="H13" s="401"/>
      <c r="I13" s="1"/>
      <c r="J13" s="58"/>
      <c r="K13" s="50" t="s">
        <v>16</v>
      </c>
      <c r="L13" s="105">
        <f>RADIANS(L11)</f>
        <v>1.1912439672849462</v>
      </c>
      <c r="M13" s="90" t="s">
        <v>9</v>
      </c>
      <c r="N13" s="105">
        <f>IF(N8=0,1/0,RADIANS(N11))</f>
        <v>1.0842205179179958</v>
      </c>
      <c r="O13" s="90" t="s">
        <v>38</v>
      </c>
      <c r="P13" s="1"/>
      <c r="Q13" s="196">
        <f t="shared" si="0"/>
        <v>7</v>
      </c>
      <c r="R13" s="197">
        <v>-0.2</v>
      </c>
      <c r="S13" s="1"/>
      <c r="T13" s="75" t="s">
        <v>30</v>
      </c>
      <c r="U13" s="328">
        <f t="shared" si="1"/>
        <v>76.649360095748705</v>
      </c>
      <c r="V13" s="365">
        <f>ATAN(TAN(h)/COS(V-W))</f>
        <v>1.337783703217571</v>
      </c>
      <c r="W13" s="375" t="s">
        <v>156</v>
      </c>
      <c r="X13" s="64"/>
    </row>
    <row r="14" spans="1:26">
      <c r="A14" s="3"/>
      <c r="B14" s="42" t="s">
        <v>2</v>
      </c>
      <c r="C14" s="289"/>
      <c r="D14" s="289"/>
      <c r="E14" s="358"/>
      <c r="F14" s="44" t="str">
        <f>IF(H6="U","Unterrand: ",IF(H6="O","Oberrand: "," "))</f>
        <v xml:space="preserve">Unterrand: </v>
      </c>
      <c r="G14" s="20">
        <v>68</v>
      </c>
      <c r="H14" s="24">
        <v>3.6</v>
      </c>
      <c r="I14" s="1"/>
      <c r="J14" s="1"/>
      <c r="K14" s="1"/>
      <c r="L14" s="1"/>
      <c r="M14" s="1"/>
      <c r="N14" s="1"/>
      <c r="O14" s="1"/>
      <c r="P14" s="1"/>
      <c r="Q14" s="196">
        <f t="shared" si="0"/>
        <v>8</v>
      </c>
      <c r="R14" s="197">
        <v>-0.2</v>
      </c>
      <c r="S14" s="1"/>
      <c r="T14" s="338" t="s">
        <v>168</v>
      </c>
      <c r="U14" s="328">
        <f t="shared" si="1"/>
        <v>21.184267724780458</v>
      </c>
      <c r="V14" s="365">
        <f>ATAN(COS(G)*TAN(V-W)/SIN(G-d))+IF((G-d)*P&gt;0,0,PI())</f>
        <v>0.36973522142138693</v>
      </c>
      <c r="W14" s="381" t="s">
        <v>171</v>
      </c>
      <c r="X14" s="64"/>
    </row>
    <row r="15" spans="1:26">
      <c r="A15" s="3"/>
      <c r="B15" s="12"/>
      <c r="C15" s="12"/>
      <c r="D15" s="12"/>
      <c r="E15" s="3"/>
      <c r="F15" s="21"/>
      <c r="G15" s="3"/>
      <c r="H15" s="21"/>
      <c r="I15" s="1"/>
      <c r="J15" s="1"/>
      <c r="K15" s="1"/>
      <c r="L15" s="1"/>
      <c r="M15" s="28"/>
      <c r="N15" s="27"/>
      <c r="O15" s="30"/>
      <c r="P15" s="1"/>
      <c r="Q15" s="196">
        <f t="shared" si="0"/>
        <v>9</v>
      </c>
      <c r="R15" s="197">
        <v>-0.1</v>
      </c>
      <c r="S15" s="1"/>
      <c r="T15" s="102" t="s">
        <v>31</v>
      </c>
      <c r="U15" s="329">
        <f t="shared" si="1"/>
        <v>34.504613309279996</v>
      </c>
      <c r="V15" s="367">
        <f>ATAN(COS(lam0)*_xlfn.COT(G-d))</f>
        <v>0.60221910937439238</v>
      </c>
      <c r="W15" s="377" t="s">
        <v>64</v>
      </c>
      <c r="X15" s="64"/>
    </row>
    <row r="16" spans="1:26" ht="19" thickBot="1">
      <c r="A16" s="3"/>
      <c r="B16" s="10" t="s">
        <v>97</v>
      </c>
      <c r="C16" s="26"/>
      <c r="D16" s="25"/>
      <c r="E16" s="11"/>
      <c r="F16" s="11"/>
      <c r="G16" s="11"/>
      <c r="H16" s="8"/>
      <c r="I16" s="1"/>
      <c r="J16" s="98" t="s">
        <v>101</v>
      </c>
      <c r="K16" s="1"/>
      <c r="L16" s="1"/>
      <c r="M16" s="204" t="s">
        <v>144</v>
      </c>
      <c r="N16" s="1"/>
      <c r="O16" s="1"/>
      <c r="P16" s="1"/>
      <c r="Q16" s="196">
        <f t="shared" si="0"/>
        <v>10</v>
      </c>
      <c r="R16" s="197">
        <v>0.1</v>
      </c>
      <c r="S16" s="1"/>
      <c r="T16" s="102" t="s">
        <v>40</v>
      </c>
      <c r="U16" s="329">
        <f t="shared" si="1"/>
        <v>372.57766246720576</v>
      </c>
      <c r="V16" s="367">
        <f>grt+lam0</f>
        <v>6.5027069294368403</v>
      </c>
      <c r="W16" s="377" t="s">
        <v>157</v>
      </c>
      <c r="X16" s="64"/>
    </row>
    <row r="17" spans="1:24" ht="17" thickBot="1">
      <c r="A17" s="3"/>
      <c r="B17" s="42" t="s">
        <v>33</v>
      </c>
      <c r="C17" s="220">
        <v>18</v>
      </c>
      <c r="D17" s="219" t="s">
        <v>5</v>
      </c>
      <c r="E17" s="404" t="s">
        <v>34</v>
      </c>
      <c r="F17" s="404"/>
      <c r="G17" s="405"/>
      <c r="H17" s="63">
        <v>240</v>
      </c>
      <c r="I17" s="9"/>
      <c r="J17" s="95" t="s">
        <v>46</v>
      </c>
      <c r="K17" s="318"/>
      <c r="L17" s="1"/>
      <c r="M17" s="192" t="s">
        <v>46</v>
      </c>
      <c r="N17" s="96" t="s">
        <v>47</v>
      </c>
      <c r="O17" s="97" t="s">
        <v>48</v>
      </c>
      <c r="P17" s="61"/>
      <c r="Q17" s="196">
        <f t="shared" si="0"/>
        <v>11</v>
      </c>
      <c r="R17" s="197">
        <v>0.2</v>
      </c>
      <c r="S17" s="1"/>
      <c r="T17" s="331" t="s">
        <v>25</v>
      </c>
      <c r="U17" s="332">
        <f t="shared" si="1"/>
        <v>338.81573227521949</v>
      </c>
      <c r="V17" s="364">
        <f>IF(grt-_l&lt;0,grt-_l+ 2*PI(),IF(grt-_l&gt;2*PI(),grt-_l-2*PI(),grt-_l))</f>
        <v>5.9134500857581989</v>
      </c>
      <c r="W17" s="374" t="s">
        <v>158</v>
      </c>
      <c r="X17" s="64"/>
    </row>
    <row r="18" spans="1:24" ht="17" thickBot="1">
      <c r="A18" s="3"/>
      <c r="B18" s="8"/>
      <c r="C18" s="8"/>
      <c r="D18" s="8"/>
      <c r="E18" s="8"/>
      <c r="F18" s="8"/>
      <c r="G18" s="8"/>
      <c r="H18" s="8"/>
      <c r="I18" s="1"/>
      <c r="J18" s="188" t="s">
        <v>87</v>
      </c>
      <c r="K18" s="319">
        <f>280.4656</f>
        <v>280.46559999999999</v>
      </c>
      <c r="L18" s="1"/>
      <c r="M18" s="191" t="s">
        <v>78</v>
      </c>
      <c r="N18" s="172">
        <f>_xlfn.DAYS(dat,ref)+ot-0.5</f>
        <v>9291.9757638888896</v>
      </c>
      <c r="O18" s="173">
        <f>_xlfn.DAYS(dat_,ref)+ot_-0.5</f>
        <v>9292.1156597222216</v>
      </c>
      <c r="P18" s="1"/>
      <c r="Q18" s="198">
        <f t="shared" si="0"/>
        <v>12</v>
      </c>
      <c r="R18" s="199">
        <v>0.3</v>
      </c>
      <c r="S18" s="1"/>
      <c r="T18" s="338" t="s">
        <v>32</v>
      </c>
      <c r="U18" s="328">
        <f t="shared" si="1"/>
        <v>116.1700659835286</v>
      </c>
      <c r="V18" s="365">
        <f>IF(LHA&gt;PI(),ACOS((SIN(d)-SIN(h)*SIN(j))/(COS(h)*COS(j))),(2*PI()-ACOS((SIN(d)-SIN(h)*SIN(j))/(COS(h)*COS(j)))))</f>
        <v>2.0275501436716388</v>
      </c>
      <c r="W18" s="375" t="s">
        <v>159</v>
      </c>
      <c r="X18" s="64"/>
    </row>
    <row r="19" spans="1:24" ht="18" thickBot="1">
      <c r="A19" s="3"/>
      <c r="B19" s="10" t="s">
        <v>98</v>
      </c>
      <c r="C19" s="16"/>
      <c r="D19" s="16"/>
      <c r="E19" s="17"/>
      <c r="F19" s="17"/>
      <c r="G19" s="326"/>
      <c r="H19" s="1"/>
      <c r="I19" s="1"/>
      <c r="J19" s="189" t="s">
        <v>88</v>
      </c>
      <c r="K19" s="320">
        <f>282.94</f>
        <v>282.94</v>
      </c>
      <c r="L19" s="1"/>
      <c r="M19" s="174" t="s">
        <v>77</v>
      </c>
      <c r="N19" s="175">
        <f>RADIANS(_A1+_B1*_T1)</f>
        <v>164.74296800656828</v>
      </c>
      <c r="O19" s="176">
        <f>RADIANS(_A1+_B1*_T2)</f>
        <v>164.7453746053931</v>
      </c>
      <c r="P19" s="1"/>
      <c r="Q19" s="406" t="s">
        <v>103</v>
      </c>
      <c r="R19" s="76" t="s">
        <v>105</v>
      </c>
      <c r="S19" s="1"/>
      <c r="T19" s="333" t="s">
        <v>41</v>
      </c>
      <c r="U19" s="329">
        <f t="shared" si="1"/>
        <v>68.086232790340532</v>
      </c>
      <c r="V19" s="368">
        <f>RADIANS(dmg/60)*COS(Az-RADIANS(cmg))+h</f>
        <v>1.1883289374707684</v>
      </c>
      <c r="W19" s="378" t="s">
        <v>160</v>
      </c>
      <c r="X19" s="64"/>
    </row>
    <row r="20" spans="1:24" ht="17" thickBot="1">
      <c r="A20" s="3"/>
      <c r="B20" s="42" t="s">
        <v>0</v>
      </c>
      <c r="C20" s="408" t="s">
        <v>149</v>
      </c>
      <c r="D20" s="408"/>
      <c r="E20" s="409"/>
      <c r="F20" s="426">
        <f>dat_-dat</f>
        <v>0</v>
      </c>
      <c r="G20" s="402">
        <v>45818</v>
      </c>
      <c r="H20" s="403"/>
      <c r="I20" s="1"/>
      <c r="J20" s="189" t="s">
        <v>89</v>
      </c>
      <c r="K20" s="320">
        <f>0.016709</f>
        <v>1.6709000000000002E-2</v>
      </c>
      <c r="L20" s="1"/>
      <c r="M20" s="174" t="s">
        <v>80</v>
      </c>
      <c r="N20" s="175">
        <f>RADIANS(_A2+_B2*_T1)</f>
        <v>4.945868048750242</v>
      </c>
      <c r="O20" s="176">
        <f>RADIANS(_A2+_B2*_T2)</f>
        <v>4.9458681636762512</v>
      </c>
      <c r="P20" s="1"/>
      <c r="Q20" s="407"/>
      <c r="R20" s="77">
        <f>MONTH(G12)</f>
        <v>6</v>
      </c>
      <c r="S20" s="1"/>
      <c r="T20" s="339" t="s">
        <v>42</v>
      </c>
      <c r="U20" s="332">
        <f t="shared" si="1"/>
        <v>26.548112114380384</v>
      </c>
      <c r="V20" s="369">
        <f>P*ACOS((COS(V)*TAN(hs)/TAN(F-d))*(SIN(h_)*SIN(F)/SIN(hs)/SIN(d_)/COS(F-d)-1))</f>
        <v>0.46335196658453115</v>
      </c>
      <c r="W20" s="379" t="s">
        <v>161</v>
      </c>
      <c r="X20" s="64"/>
    </row>
    <row r="21" spans="1:24">
      <c r="A21" s="3"/>
      <c r="B21" s="42" t="s">
        <v>1</v>
      </c>
      <c r="C21" s="394" t="str">
        <f>IF(OR((dat_-dat)+ot_-ot&lt;0,(dat_-dat)+ot_-ot&gt;5),"Zwischenzeit!"," ")</f>
        <v xml:space="preserve"> </v>
      </c>
      <c r="D21" s="394"/>
      <c r="E21" s="392" t="str">
        <f>IF(ISNUMBER(G21)=TRUE,"hh:mm:ss"," Syntax !!! ")</f>
        <v>hh:mm:ss</v>
      </c>
      <c r="F21" s="393"/>
      <c r="G21" s="400">
        <v>0.61565972222222221</v>
      </c>
      <c r="H21" s="401"/>
      <c r="I21" s="1"/>
      <c r="J21" s="189" t="s">
        <v>90</v>
      </c>
      <c r="K21" s="320">
        <f>23.4391667</f>
        <v>23.439166700000001</v>
      </c>
      <c r="L21" s="1"/>
      <c r="M21" s="174" t="s">
        <v>81</v>
      </c>
      <c r="N21" s="175">
        <f>N19-N20</f>
        <v>159.79709995781803</v>
      </c>
      <c r="O21" s="176">
        <f>(O19-O20)</f>
        <v>159.79950644171686</v>
      </c>
      <c r="P21" s="1"/>
      <c r="Q21" s="1"/>
      <c r="R21" s="1"/>
      <c r="S21" s="1"/>
      <c r="T21" s="75" t="s">
        <v>43</v>
      </c>
      <c r="U21" s="328">
        <f t="shared" si="1"/>
        <v>76.393836293523862</v>
      </c>
      <c r="V21" s="365">
        <f>ATAN(TAN(hs)/COS(V-Ws))</f>
        <v>1.3333239715515326</v>
      </c>
      <c r="W21" s="375" t="s">
        <v>162</v>
      </c>
      <c r="X21" s="64"/>
    </row>
    <row r="22" spans="1:24">
      <c r="A22" s="3"/>
      <c r="B22" s="42" t="s">
        <v>2</v>
      </c>
      <c r="C22" s="358"/>
      <c r="D22" s="19" t="str">
        <f>IF(F7="U","Unterrand: ",IF(F7="O","Oberrand: "," "))</f>
        <v xml:space="preserve"> </v>
      </c>
      <c r="E22" s="392" t="str">
        <f>IF(H7="U","Unterrand:",IF(H7="O","Oberrand:"," "))</f>
        <v>Unterrand:</v>
      </c>
      <c r="F22" s="393"/>
      <c r="G22" s="20">
        <v>61</v>
      </c>
      <c r="H22" s="24">
        <v>55.8</v>
      </c>
      <c r="I22" s="1"/>
      <c r="J22" s="190"/>
      <c r="K22" s="321"/>
      <c r="L22" s="1"/>
      <c r="M22" s="174" t="s">
        <v>82</v>
      </c>
      <c r="N22" s="175">
        <f>_A3-_B3*_T1</f>
        <v>1.6698315181873147E-2</v>
      </c>
      <c r="O22" s="176">
        <f>_A3-_B3*_T2</f>
        <v>1.6698315021007302E-2</v>
      </c>
      <c r="P22" s="1"/>
      <c r="Q22" s="100"/>
      <c r="R22" s="35"/>
      <c r="S22" s="1"/>
      <c r="T22" s="338" t="s">
        <v>169</v>
      </c>
      <c r="U22" s="328">
        <f t="shared" si="1"/>
        <v>21.269664508270203</v>
      </c>
      <c r="V22" s="365">
        <f>ATAN(COS(Gs)*TAN(V-Ws)/SIN(Gs-d))+IF((Gs-d)*P&gt;0,0,PI())</f>
        <v>0.3712256764638957</v>
      </c>
      <c r="W22" s="381" t="s">
        <v>170</v>
      </c>
      <c r="X22" s="64"/>
    </row>
    <row r="23" spans="1:24">
      <c r="A23" s="3"/>
      <c r="B23" s="8"/>
      <c r="C23" s="3"/>
      <c r="D23" s="3"/>
      <c r="E23" s="3"/>
      <c r="F23" s="21"/>
      <c r="G23" s="18"/>
      <c r="I23" s="1"/>
      <c r="J23" s="189" t="s">
        <v>91</v>
      </c>
      <c r="K23" s="322">
        <v>0.98564733744010957</v>
      </c>
      <c r="L23" s="1"/>
      <c r="M23" s="174" t="s">
        <v>108</v>
      </c>
      <c r="N23" s="175">
        <f>(2*N22-N22^3/4)*SIN(N21)+5*N22^2/4*SIN(2*N21)+13*N22^3/12*SIN(3*N21)</f>
        <v>1.3486400461435564E-2</v>
      </c>
      <c r="O23" s="176">
        <f>(2*O22-O22^3/4)*SIN(O21)+5*O22^2/4*SIN(2*O21)+13*O22^3/12*SIN(3*O21)</f>
        <v>1.3414216966629653E-2</v>
      </c>
      <c r="P23" s="1"/>
      <c r="Q23" s="101"/>
      <c r="R23" s="1"/>
      <c r="S23" s="1"/>
      <c r="T23" s="99" t="s">
        <v>66</v>
      </c>
      <c r="U23" s="328">
        <f>IF(var="Error",#N/A,DEGREES(js))</f>
        <v>34.738892287452941</v>
      </c>
      <c r="V23" s="365">
        <f>ATAN(COS(lam0s)*_xlfn.COT(Gs-d))</f>
        <v>0.6063080489117183</v>
      </c>
      <c r="W23" s="375" t="s">
        <v>163</v>
      </c>
      <c r="X23" s="64"/>
    </row>
    <row r="24" spans="1:24" ht="17">
      <c r="A24" s="3"/>
      <c r="B24" s="10" t="s">
        <v>99</v>
      </c>
      <c r="C24" s="1"/>
      <c r="D24" s="1"/>
      <c r="E24" s="1"/>
      <c r="F24" s="1"/>
      <c r="G24" s="1"/>
      <c r="H24" s="1"/>
      <c r="I24" s="1"/>
      <c r="J24" s="189" t="s">
        <v>92</v>
      </c>
      <c r="K24" s="322">
        <v>4.706913073237508E-5</v>
      </c>
      <c r="L24" s="1"/>
      <c r="M24" s="177" t="s">
        <v>79</v>
      </c>
      <c r="N24" s="175">
        <f>N19+N23</f>
        <v>164.75645440702971</v>
      </c>
      <c r="O24" s="176">
        <f>O19+O23</f>
        <v>164.75878882235972</v>
      </c>
      <c r="P24" s="1"/>
      <c r="Q24" s="101"/>
      <c r="R24" s="1"/>
      <c r="S24" s="1"/>
      <c r="T24" s="340" t="s">
        <v>67</v>
      </c>
      <c r="U24" s="328">
        <f>DEGREES(V24)</f>
        <v>372.66305925069548</v>
      </c>
      <c r="V24" s="365">
        <f>grt+lam0s</f>
        <v>6.5041973844793484</v>
      </c>
      <c r="W24" s="375" t="s">
        <v>164</v>
      </c>
      <c r="X24" s="64"/>
    </row>
    <row r="25" spans="1:24" ht="17" thickBot="1">
      <c r="A25" s="3"/>
      <c r="B25" s="74" t="s">
        <v>52</v>
      </c>
      <c r="C25" s="352">
        <f>IFERROR(INT(ABS(lat))," ")</f>
        <v>34</v>
      </c>
      <c r="D25" s="353">
        <f>IFERROR(ROUNDDOWN((ABS(lat)-C25),6)*60," ")</f>
        <v>44.33352</v>
      </c>
      <c r="E25" s="354" t="str">
        <f>IFERROR(IF(lat&lt;0,"S","N")," ")</f>
        <v>N</v>
      </c>
      <c r="F25" s="355">
        <f>IFERROR(INT(ABS(lon))," ")</f>
        <v>12</v>
      </c>
      <c r="G25" s="356">
        <f>IFERROR(ROUNDDOWN((ABS(lon)-F25),6)*60," ")</f>
        <v>39.783539999999995</v>
      </c>
      <c r="H25" s="357" t="str">
        <f>IFERROR(IF(lon&lt;0,"W","E")," ")</f>
        <v>W</v>
      </c>
      <c r="I25" s="1"/>
      <c r="J25" s="189" t="s">
        <v>93</v>
      </c>
      <c r="K25" s="322">
        <v>1.1498973305954826E-9</v>
      </c>
      <c r="L25" s="1"/>
      <c r="M25" s="178" t="s">
        <v>83</v>
      </c>
      <c r="N25" s="179">
        <f>RADIANS(_A4-_B4*_T1)</f>
        <v>0.40903288654450504</v>
      </c>
      <c r="O25" s="180">
        <f>RADIANS(_A4-_B4*_T2)</f>
        <v>0.40903288567510265</v>
      </c>
      <c r="P25" s="1"/>
      <c r="Q25" s="101"/>
      <c r="R25" s="1"/>
      <c r="S25" s="1"/>
      <c r="T25" s="83" t="s">
        <v>44</v>
      </c>
      <c r="U25" s="330">
        <f>IF(var="Error",#N/A,DEGREES(ls))</f>
        <v>-12.663059250695477</v>
      </c>
      <c r="V25" s="370">
        <f>IF(_ls&gt;3*PI(),2*PI(),0)+IF(_ls&lt;PI(),-_ls,2*PI()-_ls)</f>
        <v>-0.22101207729976213</v>
      </c>
      <c r="W25" s="380" t="s">
        <v>165</v>
      </c>
      <c r="X25" s="64"/>
    </row>
    <row r="26" spans="1:24" ht="17" thickBot="1">
      <c r="A26" s="3"/>
      <c r="B26" s="45" t="s">
        <v>10</v>
      </c>
      <c r="C26" s="414">
        <f>IFERROR(ot+(360-LHA°)/15/24," ")</f>
        <v>0.5346090770132792</v>
      </c>
      <c r="D26" s="414"/>
      <c r="E26" s="73" t="s">
        <v>27</v>
      </c>
      <c r="F26" s="415"/>
      <c r="G26" s="415"/>
      <c r="H26" s="287"/>
      <c r="I26" s="1"/>
      <c r="J26" s="189" t="s">
        <v>94</v>
      </c>
      <c r="K26" s="322">
        <v>3.5607270514868054E-7</v>
      </c>
      <c r="L26" s="1"/>
      <c r="M26" s="181" t="s">
        <v>84</v>
      </c>
      <c r="N26" s="182">
        <f>ATAN(  (TAN(N19)-TAN(N24)*COS(N25))  /(1+TAN(N19)*TAN(N24)*COS(N25)))</f>
        <v>2.0663780723726263E-3</v>
      </c>
      <c r="O26" s="183">
        <f>ATAN(  (TAN(O19)-TAN(O24)*COS(O25))  /(1+TAN(O19)*TAN(O24)*COS(O25)))</f>
        <v>1.9432434276390876E-3</v>
      </c>
      <c r="P26" s="1"/>
      <c r="Q26" s="101"/>
      <c r="R26" s="1"/>
      <c r="S26" s="1"/>
      <c r="T26" s="341"/>
      <c r="U26" s="341"/>
      <c r="V26" s="342"/>
      <c r="W26" s="13"/>
      <c r="X26" s="64"/>
    </row>
    <row r="27" spans="1:24" ht="19" thickBot="1">
      <c r="A27" s="4"/>
      <c r="B27" s="8"/>
      <c r="C27" s="3"/>
      <c r="D27" s="3"/>
      <c r="E27" s="3"/>
      <c r="F27" s="3"/>
      <c r="G27" s="3"/>
      <c r="H27" s="3"/>
      <c r="I27" s="1"/>
      <c r="J27" s="94"/>
      <c r="K27" s="323"/>
      <c r="L27" s="1"/>
      <c r="M27" s="214" t="s">
        <v>109</v>
      </c>
      <c r="N27" s="215">
        <f>IF((ot*24+12)&gt;24,N26+RADIANS(15)*(ot*24-12),N26+RADIANS(15)*(ot*24+12))</f>
        <v>6.1329717080154529</v>
      </c>
      <c r="O27" s="285">
        <f>IF((ot_*24+12)&gt;24,O26+RADIANS(15)*(ot_*24-12),O26+RADIANS(15)*(ot_*24+12))</f>
        <v>0.7286547107267779</v>
      </c>
      <c r="P27" s="1"/>
      <c r="Q27" s="101"/>
      <c r="R27" s="1"/>
      <c r="S27" s="1"/>
      <c r="T27" s="204" t="s">
        <v>51</v>
      </c>
      <c r="U27" s="343"/>
      <c r="V27" s="344"/>
      <c r="W27" s="13"/>
      <c r="X27" s="64"/>
    </row>
    <row r="28" spans="1:24" ht="18" thickBot="1">
      <c r="A28" s="1"/>
      <c r="B28" s="203" t="s">
        <v>100</v>
      </c>
      <c r="C28" s="3"/>
      <c r="D28" s="3"/>
      <c r="E28" s="3"/>
      <c r="F28" s="3"/>
      <c r="G28" s="3"/>
      <c r="H28" s="3"/>
      <c r="I28" s="1"/>
      <c r="J28" s="193" t="s">
        <v>110</v>
      </c>
      <c r="K28" s="324">
        <v>36526</v>
      </c>
      <c r="L28" s="1"/>
      <c r="M28" s="184" t="s">
        <v>106</v>
      </c>
      <c r="N28" s="213">
        <f>IF(N27&lt;0,N27+2*PI(),IF(N27&gt;2*PI(),N27-2*PI(),N27))</f>
        <v>6.1329717080154529</v>
      </c>
      <c r="O28" s="213">
        <f>IF(O27&lt;0,O27+2*PI(),IF(O27&gt;2*PI(),O27-2*PI(),O27))</f>
        <v>0.7286547107267779</v>
      </c>
      <c r="P28" s="1"/>
      <c r="Q28" s="101"/>
      <c r="R28" s="1"/>
      <c r="S28" s="1"/>
      <c r="T28" s="345" t="s">
        <v>35</v>
      </c>
      <c r="U28" s="346">
        <f>DEGREES(V28)</f>
        <v>29.085780396274771</v>
      </c>
      <c r="V28" s="371">
        <f>IF(grt_+ls&lt;0,grt_+ls+ 2*PI(),IF(grt_+ls&gt;2*PI(),grt_+ls-2*PI(),grt_+ls))</f>
        <v>0.50764263342701577</v>
      </c>
      <c r="W28" s="359" t="s">
        <v>166</v>
      </c>
      <c r="X28" s="64"/>
    </row>
    <row r="29" spans="1:24" ht="17" thickBot="1">
      <c r="A29" s="3"/>
      <c r="B29" s="33" t="s">
        <v>19</v>
      </c>
      <c r="C29" s="416">
        <f>G13</f>
        <v>0.47576388888888888</v>
      </c>
      <c r="D29" s="417"/>
      <c r="E29" s="416">
        <f>ot_</f>
        <v>0.61565972222222221</v>
      </c>
      <c r="F29" s="418"/>
      <c r="G29" s="417"/>
      <c r="H29" s="6"/>
      <c r="I29" s="1"/>
      <c r="J29" s="91"/>
      <c r="K29" s="93"/>
      <c r="L29" s="1"/>
      <c r="M29" s="185" t="s">
        <v>85</v>
      </c>
      <c r="N29" s="186">
        <f>ASIN(SIN(N24)*SIN(N25))</f>
        <v>0.40225800462874606</v>
      </c>
      <c r="O29" s="187">
        <f>ASIN(SIN(O24)*SIN(O25))</f>
        <v>0.40243466941382183</v>
      </c>
      <c r="P29" s="1"/>
      <c r="Q29" s="101"/>
      <c r="R29" s="1"/>
      <c r="S29" s="1"/>
      <c r="T29" s="347" t="s">
        <v>36</v>
      </c>
      <c r="U29" s="348">
        <f>DEGREES(V29)</f>
        <v>253.04729657991498</v>
      </c>
      <c r="V29" s="372">
        <f>IF(LHA_&gt;PI(),ACOS((SIN(d_)-SIN(js)*SIN(h_))/COS(js)/COS(h_)),(2*PI()-ACOS((SIN(d_)-SIN(js)*SIN(h_))/COS(js)/COS(h_))))</f>
        <v>4.4165084885901029</v>
      </c>
      <c r="W29" s="360" t="s">
        <v>167</v>
      </c>
      <c r="X29" s="64"/>
    </row>
    <row r="30" spans="1:24">
      <c r="A30" s="3"/>
      <c r="B30" s="68" t="s">
        <v>20</v>
      </c>
      <c r="C30" s="34">
        <f>INT(N30)</f>
        <v>351</v>
      </c>
      <c r="D30" s="209">
        <f>(N30-C30)*60</f>
        <v>23.603684545518036</v>
      </c>
      <c r="E30" s="382">
        <f>INT(O30)</f>
        <v>41</v>
      </c>
      <c r="F30" s="383"/>
      <c r="G30" s="205">
        <f>(O30-E30)*60</f>
        <v>44.930378818214791</v>
      </c>
      <c r="H30" s="3"/>
      <c r="L30" s="1"/>
      <c r="M30" s="184" t="s">
        <v>107</v>
      </c>
      <c r="N30" s="200">
        <f>DEGREES(N28)</f>
        <v>351.3933947424253</v>
      </c>
      <c r="O30" s="200">
        <f>DEGREES(O28)</f>
        <v>41.748839646970247</v>
      </c>
      <c r="P30" s="1"/>
      <c r="Q30" s="101"/>
      <c r="R30" s="1"/>
      <c r="S30" s="1"/>
      <c r="W30" s="64"/>
      <c r="X30" s="64"/>
    </row>
    <row r="31" spans="1:24" ht="17" thickBot="1">
      <c r="A31" s="3"/>
      <c r="B31" s="69" t="s">
        <v>21</v>
      </c>
      <c r="C31" s="288">
        <f>ROUNDDOWN(N31,0)</f>
        <v>23</v>
      </c>
      <c r="D31" s="210">
        <f>(ABS(N31)-ABS(C31))*60</f>
        <v>2.8611564348649665</v>
      </c>
      <c r="E31" s="410">
        <f>ROUNDDOWN(O31,0)</f>
        <v>23</v>
      </c>
      <c r="F31" s="411"/>
      <c r="G31" s="206">
        <f>(ABS(O31)-ABS(E31))*60</f>
        <v>3.4684852292705415</v>
      </c>
      <c r="H31" s="3"/>
      <c r="L31" s="1"/>
      <c r="M31" s="185" t="s">
        <v>86</v>
      </c>
      <c r="N31" s="201">
        <f>DEGREES(N29)</f>
        <v>23.047685940581083</v>
      </c>
      <c r="O31" s="202">
        <f>DEGREES(O29)</f>
        <v>23.057808087154509</v>
      </c>
      <c r="P31" s="1"/>
      <c r="Q31" s="101"/>
      <c r="R31" s="1"/>
      <c r="S31" s="1"/>
      <c r="X31" s="64"/>
    </row>
    <row r="32" spans="1:24">
      <c r="A32" s="3"/>
      <c r="B32" s="70" t="s">
        <v>22</v>
      </c>
      <c r="C32" s="288">
        <f>IFERROR(ROUNDDOWN(U17,0)," ")</f>
        <v>338</v>
      </c>
      <c r="D32" s="210">
        <f>IFERROR((U17-C32)*60," ")</f>
        <v>48.943936513169319</v>
      </c>
      <c r="E32" s="410">
        <f>IFERROR(ROUNDDOWN(U28,0)," ")</f>
        <v>29</v>
      </c>
      <c r="F32" s="411"/>
      <c r="G32" s="207">
        <f>IFERROR((U28-E32)*60," ")</f>
        <v>5.1468237764862579</v>
      </c>
      <c r="H32" s="6"/>
      <c r="L32" s="1"/>
      <c r="P32" s="1"/>
      <c r="Q32" s="101"/>
      <c r="R32" s="100"/>
      <c r="S32" s="100"/>
      <c r="X32" s="64"/>
    </row>
    <row r="33" spans="1:27">
      <c r="A33" s="3"/>
      <c r="B33" s="69" t="s">
        <v>26</v>
      </c>
      <c r="C33" s="288">
        <f>IFERROR(INT(Az°)," ")</f>
        <v>116</v>
      </c>
      <c r="D33" s="210">
        <f>IFERROR((Az°-C33)*60," ")</f>
        <v>10.203959011716108</v>
      </c>
      <c r="E33" s="410">
        <f>IFERROR(INT(Az_°)," ")</f>
        <v>253</v>
      </c>
      <c r="F33" s="411"/>
      <c r="G33" s="207">
        <f>IFERROR((Az_°-E33)*60," ")</f>
        <v>2.8377947948990823</v>
      </c>
      <c r="H33" s="218"/>
      <c r="L33" s="1"/>
      <c r="P33" s="1"/>
      <c r="Q33" s="101"/>
      <c r="R33" s="100"/>
      <c r="S33" s="100"/>
      <c r="X33" s="64"/>
    </row>
    <row r="34" spans="1:27">
      <c r="A34" s="3"/>
      <c r="B34" s="71" t="s">
        <v>23</v>
      </c>
      <c r="C34" s="62">
        <f>L12</f>
        <v>68</v>
      </c>
      <c r="D34" s="211">
        <f>M12</f>
        <v>15.195101750863387</v>
      </c>
      <c r="E34" s="412">
        <f>N12</f>
        <v>62</v>
      </c>
      <c r="F34" s="413"/>
      <c r="G34" s="208">
        <f>O12</f>
        <v>7.2755842913645097</v>
      </c>
      <c r="H34" s="3"/>
      <c r="L34" s="92"/>
      <c r="P34" s="1"/>
      <c r="Q34" s="101"/>
      <c r="R34" s="100"/>
      <c r="S34" s="100"/>
      <c r="X34" s="64"/>
    </row>
    <row r="35" spans="1:27">
      <c r="Q35" s="100"/>
      <c r="R35" s="100"/>
      <c r="S35" s="100"/>
      <c r="X35" s="64"/>
    </row>
    <row r="36" spans="1:27">
      <c r="Q36" s="100"/>
      <c r="R36" s="100"/>
      <c r="S36" s="100"/>
      <c r="X36" s="64"/>
    </row>
    <row r="37" spans="1:27" ht="17">
      <c r="B37" s="107" t="s">
        <v>138</v>
      </c>
      <c r="Q37" s="100"/>
      <c r="R37" s="100"/>
      <c r="S37" s="334"/>
      <c r="T37" s="398" t="s">
        <v>55</v>
      </c>
      <c r="U37" s="399"/>
      <c r="V37" s="336">
        <v>1</v>
      </c>
      <c r="Y37" s="335"/>
    </row>
    <row r="38" spans="1:27">
      <c r="Q38" s="100"/>
      <c r="R38" s="100"/>
      <c r="S38" s="100"/>
      <c r="X38" s="64"/>
    </row>
    <row r="39" spans="1:27">
      <c r="Q39" s="100"/>
      <c r="R39" s="100"/>
      <c r="S39" s="100"/>
      <c r="X39" s="64"/>
    </row>
    <row r="40" spans="1:27">
      <c r="Q40" s="100"/>
      <c r="R40" s="100"/>
      <c r="S40" s="100"/>
      <c r="X40" s="64"/>
      <c r="AA40" s="337"/>
    </row>
    <row r="41" spans="1:27">
      <c r="Q41" s="100"/>
      <c r="R41" s="100"/>
      <c r="S41" s="100"/>
      <c r="X41" s="64"/>
    </row>
    <row r="42" spans="1:27">
      <c r="Q42" s="100"/>
      <c r="R42" s="100"/>
      <c r="S42" s="100"/>
      <c r="X42" s="64"/>
    </row>
    <row r="43" spans="1:27">
      <c r="Q43" s="100"/>
      <c r="R43" s="100"/>
      <c r="S43" s="100"/>
      <c r="X43" s="64"/>
    </row>
    <row r="44" spans="1:27">
      <c r="Q44" s="100"/>
      <c r="R44" s="100"/>
      <c r="S44" s="100"/>
      <c r="X44" s="64"/>
    </row>
    <row r="45" spans="1:27">
      <c r="Q45" s="100"/>
      <c r="R45" s="100"/>
      <c r="S45" s="100"/>
      <c r="X45" s="64"/>
    </row>
    <row r="46" spans="1:27">
      <c r="Q46" s="100"/>
      <c r="R46" s="100"/>
      <c r="S46" s="100"/>
      <c r="X46" s="64"/>
    </row>
    <row r="47" spans="1:27">
      <c r="Q47" s="100"/>
      <c r="R47" s="100"/>
      <c r="S47" s="100"/>
      <c r="X47" s="64"/>
    </row>
    <row r="48" spans="1:27">
      <c r="Q48" s="100"/>
      <c r="R48" s="100"/>
      <c r="S48" s="100"/>
      <c r="X48" s="64"/>
    </row>
    <row r="49" spans="17:33">
      <c r="Q49" s="100"/>
      <c r="R49" s="100"/>
      <c r="S49" s="100"/>
      <c r="X49" s="64"/>
    </row>
    <row r="50" spans="17:33">
      <c r="Q50" s="100"/>
      <c r="R50" s="100"/>
      <c r="S50" s="100"/>
      <c r="X50" s="64"/>
      <c r="AF50" s="327"/>
      <c r="AG50" s="327"/>
    </row>
    <row r="51" spans="17:33">
      <c r="Q51" s="100"/>
      <c r="R51" s="100"/>
      <c r="S51" s="100"/>
      <c r="X51" s="64"/>
      <c r="AF51" s="327"/>
      <c r="AG51" s="327"/>
    </row>
    <row r="52" spans="17:33">
      <c r="X52" s="64"/>
      <c r="AF52" s="327"/>
      <c r="AG52" s="327"/>
    </row>
    <row r="53" spans="17:33">
      <c r="X53" s="64"/>
    </row>
    <row r="54" spans="17:33">
      <c r="X54" s="64"/>
    </row>
    <row r="55" spans="17:33">
      <c r="X55" s="64"/>
    </row>
    <row r="56" spans="17:33">
      <c r="X56" s="64"/>
    </row>
    <row r="57" spans="17:33">
      <c r="X57" s="64"/>
    </row>
    <row r="58" spans="17:33">
      <c r="X58" s="64"/>
    </row>
    <row r="59" spans="17:33">
      <c r="X59" s="64"/>
    </row>
    <row r="60" spans="17:33">
      <c r="X60" s="64"/>
    </row>
    <row r="61" spans="17:33">
      <c r="X61" s="64"/>
    </row>
    <row r="62" spans="17:33">
      <c r="X62" s="64"/>
    </row>
    <row r="63" spans="17:33">
      <c r="X63" s="64"/>
    </row>
    <row r="64" spans="17:33">
      <c r="X64" s="64"/>
    </row>
    <row r="65" spans="24:24">
      <c r="X65" s="64"/>
    </row>
    <row r="66" spans="24:24">
      <c r="X66" s="64"/>
    </row>
    <row r="67" spans="24:24">
      <c r="X67" s="64"/>
    </row>
    <row r="68" spans="24:24">
      <c r="X68" s="64"/>
    </row>
    <row r="69" spans="24:24">
      <c r="X69" s="64"/>
    </row>
    <row r="70" spans="24:24">
      <c r="X70" s="64"/>
    </row>
    <row r="71" spans="24:24">
      <c r="X71" s="64"/>
    </row>
    <row r="72" spans="24:24">
      <c r="X72" s="64"/>
    </row>
    <row r="73" spans="24:24">
      <c r="X73" s="64"/>
    </row>
    <row r="74" spans="24:24">
      <c r="X74" s="64"/>
    </row>
    <row r="75" spans="24:24">
      <c r="X75" s="64"/>
    </row>
    <row r="76" spans="24:24">
      <c r="X76" s="64"/>
    </row>
    <row r="77" spans="24:24">
      <c r="X77" s="64"/>
    </row>
    <row r="78" spans="24:24">
      <c r="X78" s="64"/>
    </row>
    <row r="79" spans="24:24">
      <c r="X79" s="64"/>
    </row>
    <row r="80" spans="24:24">
      <c r="X80" s="64"/>
    </row>
  </sheetData>
  <sheetProtection selectLockedCells="1"/>
  <mergeCells count="27">
    <mergeCell ref="T6:T7"/>
    <mergeCell ref="U6:U7"/>
    <mergeCell ref="T37:U37"/>
    <mergeCell ref="G21:H21"/>
    <mergeCell ref="G12:H12"/>
    <mergeCell ref="G13:H13"/>
    <mergeCell ref="E17:G17"/>
    <mergeCell ref="Q19:Q20"/>
    <mergeCell ref="C20:E20"/>
    <mergeCell ref="G20:H20"/>
    <mergeCell ref="E31:F31"/>
    <mergeCell ref="E32:F32"/>
    <mergeCell ref="E33:F33"/>
    <mergeCell ref="E34:F34"/>
    <mergeCell ref="C26:D26"/>
    <mergeCell ref="F26:G26"/>
    <mergeCell ref="C29:D29"/>
    <mergeCell ref="E29:G29"/>
    <mergeCell ref="E30:F30"/>
    <mergeCell ref="D6:G6"/>
    <mergeCell ref="L6:M6"/>
    <mergeCell ref="N6:O6"/>
    <mergeCell ref="D7:G7"/>
    <mergeCell ref="E21:F21"/>
    <mergeCell ref="E22:F22"/>
    <mergeCell ref="C21:D21"/>
    <mergeCell ref="D8:F8"/>
  </mergeCells>
  <pageMargins left="0.7" right="0.7" top="0.78740157499999996" bottom="0.78740157499999996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BE153-CB63-C74B-98F7-7BA9F0E28284}">
  <dimension ref="A1:T60"/>
  <sheetViews>
    <sheetView workbookViewId="0">
      <selection activeCell="H43" sqref="H43"/>
    </sheetView>
  </sheetViews>
  <sheetFormatPr baseColWidth="10" defaultRowHeight="16"/>
  <sheetData>
    <row r="1" spans="1:20" ht="17" thickBot="1">
      <c r="A1" s="3"/>
      <c r="B1" s="3"/>
      <c r="C1" s="3"/>
      <c r="D1" s="3"/>
      <c r="E1" s="3"/>
      <c r="F1" s="3"/>
      <c r="G1" s="3"/>
      <c r="H1" s="3"/>
      <c r="I1" s="106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1" thickBot="1">
      <c r="A2" s="3"/>
      <c r="B2" s="107" t="s">
        <v>53</v>
      </c>
      <c r="C2" s="3"/>
      <c r="D2" s="3"/>
      <c r="E2" s="3"/>
      <c r="F2" s="419" t="s">
        <v>54</v>
      </c>
      <c r="G2" s="420"/>
      <c r="H2" s="421"/>
      <c r="I2" s="106"/>
      <c r="M2" s="3"/>
      <c r="N2" s="3"/>
      <c r="O2" s="3"/>
      <c r="P2" s="3"/>
      <c r="Q2" s="3"/>
      <c r="R2" s="3"/>
      <c r="S2" s="3"/>
      <c r="T2" s="3"/>
    </row>
    <row r="3" spans="1:20" ht="20">
      <c r="A3" s="3"/>
      <c r="B3" s="3"/>
      <c r="C3" s="3"/>
      <c r="D3" s="3"/>
      <c r="E3" s="3"/>
      <c r="F3" s="3"/>
      <c r="G3" s="3"/>
      <c r="H3" s="3"/>
      <c r="I3" s="106"/>
      <c r="J3" s="108"/>
      <c r="K3" s="108"/>
      <c r="L3" s="108"/>
      <c r="M3" s="3"/>
      <c r="N3" s="3"/>
      <c r="O3" s="3"/>
      <c r="P3" s="3"/>
      <c r="Q3" s="3"/>
      <c r="R3" s="3"/>
      <c r="S3" s="3"/>
      <c r="T3" s="3"/>
    </row>
    <row r="4" spans="1:20" ht="20">
      <c r="A4" s="3"/>
      <c r="B4" s="3"/>
      <c r="C4" s="3"/>
      <c r="D4" s="3"/>
      <c r="E4" s="3"/>
      <c r="F4" s="3"/>
      <c r="G4" s="3"/>
      <c r="H4" s="3"/>
      <c r="I4" s="106"/>
      <c r="J4" s="108"/>
      <c r="K4" s="108"/>
      <c r="L4" s="108"/>
      <c r="M4" s="3"/>
      <c r="N4" s="3"/>
      <c r="O4" s="3"/>
      <c r="P4" s="3"/>
      <c r="Q4" s="3"/>
      <c r="R4" s="3"/>
      <c r="S4" s="3"/>
      <c r="T4" s="3"/>
    </row>
    <row r="5" spans="1:20" ht="16" customHeight="1">
      <c r="A5" s="3"/>
      <c r="B5" s="3"/>
      <c r="C5" s="3"/>
      <c r="D5" s="3"/>
      <c r="E5" s="3"/>
      <c r="F5" s="3"/>
      <c r="G5" s="3"/>
      <c r="H5" s="3"/>
      <c r="I5" s="106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6" customHeight="1" thickBot="1">
      <c r="A6" s="3"/>
      <c r="B6" s="3"/>
      <c r="C6" s="3"/>
      <c r="D6" s="3"/>
      <c r="E6" s="3"/>
      <c r="F6" s="3"/>
      <c r="G6" s="3"/>
      <c r="H6" s="3"/>
      <c r="I6" s="106"/>
      <c r="J6" s="14" t="s">
        <v>76</v>
      </c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6" customHeight="1">
      <c r="A7" s="3"/>
      <c r="B7" s="3"/>
      <c r="C7" s="3"/>
      <c r="D7" s="3"/>
      <c r="E7" s="3"/>
      <c r="F7" s="3"/>
      <c r="G7" s="3"/>
      <c r="H7" s="3"/>
      <c r="I7" s="106"/>
      <c r="J7" s="422" t="s">
        <v>56</v>
      </c>
      <c r="K7" s="423"/>
      <c r="L7" s="423"/>
      <c r="M7" s="109">
        <f>cmg</f>
        <v>240</v>
      </c>
      <c r="N7" s="110"/>
      <c r="O7" s="111"/>
      <c r="P7" s="3"/>
      <c r="Q7" s="3"/>
      <c r="R7" s="3"/>
      <c r="S7" s="3"/>
      <c r="T7" s="3"/>
    </row>
    <row r="8" spans="1:20" ht="16" customHeight="1">
      <c r="A8" s="3"/>
      <c r="B8" s="3"/>
      <c r="C8" s="3"/>
      <c r="D8" s="3"/>
      <c r="E8" s="3"/>
      <c r="F8" s="3"/>
      <c r="G8" s="3"/>
      <c r="H8" s="3"/>
      <c r="I8" s="106"/>
      <c r="J8" s="424" t="s">
        <v>57</v>
      </c>
      <c r="K8" s="425"/>
      <c r="L8" s="425"/>
      <c r="M8" s="112">
        <f>dmg</f>
        <v>18</v>
      </c>
      <c r="N8" s="113" t="s">
        <v>58</v>
      </c>
      <c r="O8" s="114"/>
      <c r="P8" s="3"/>
      <c r="Q8" s="3"/>
      <c r="R8" s="3"/>
      <c r="S8" s="3"/>
      <c r="T8" s="3"/>
    </row>
    <row r="9" spans="1:20" ht="16" customHeight="1">
      <c r="A9" s="3"/>
      <c r="B9" s="3"/>
      <c r="C9" s="3"/>
      <c r="D9" s="3"/>
      <c r="E9" s="3"/>
      <c r="F9" s="3"/>
      <c r="G9" s="3"/>
      <c r="H9" s="3"/>
      <c r="I9" s="106"/>
      <c r="J9" s="424" t="s">
        <v>59</v>
      </c>
      <c r="K9" s="425"/>
      <c r="L9" s="425"/>
      <c r="M9" s="112">
        <f>dmg*COS(RADIANS(cmg))</f>
        <v>-9.0000000000000071</v>
      </c>
      <c r="N9" s="115" t="s">
        <v>58</v>
      </c>
      <c r="O9" s="116">
        <f>M9/60</f>
        <v>-0.15000000000000011</v>
      </c>
      <c r="P9" s="3"/>
      <c r="Q9" s="3"/>
      <c r="R9" s="117"/>
      <c r="S9" s="3"/>
      <c r="T9" s="3"/>
    </row>
    <row r="10" spans="1:20" ht="16" customHeight="1">
      <c r="A10" s="3"/>
      <c r="B10" s="3"/>
      <c r="C10" s="3"/>
      <c r="D10" s="3"/>
      <c r="E10" s="3"/>
      <c r="F10" s="3"/>
      <c r="G10" s="3"/>
      <c r="H10" s="3"/>
      <c r="I10" s="106"/>
      <c r="J10" s="424" t="s">
        <v>68</v>
      </c>
      <c r="K10" s="425"/>
      <c r="L10" s="425"/>
      <c r="M10" s="112">
        <f>dmg*SIN(RADIANS(cmg))</f>
        <v>-15.588457268119891</v>
      </c>
      <c r="N10" s="115" t="s">
        <v>58</v>
      </c>
      <c r="O10" s="118">
        <f>M10/60/COS(RADIANS(lat))</f>
        <v>-0.31616096556859352</v>
      </c>
      <c r="P10" s="3"/>
      <c r="Q10" s="3"/>
      <c r="R10" s="117"/>
      <c r="S10" s="3"/>
      <c r="T10" s="3"/>
    </row>
    <row r="11" spans="1:20" ht="16" customHeight="1">
      <c r="A11" s="3"/>
      <c r="B11" s="3"/>
      <c r="C11" s="3"/>
      <c r="D11" s="3"/>
      <c r="E11" s="3"/>
      <c r="F11" s="3"/>
      <c r="G11" s="3"/>
      <c r="H11" s="3"/>
      <c r="I11" s="106"/>
      <c r="J11" s="119"/>
      <c r="K11" s="120"/>
      <c r="L11" s="121" t="s">
        <v>60</v>
      </c>
      <c r="M11" s="122">
        <f>ABS(BB)/40</f>
        <v>2.5000000000000001E-2</v>
      </c>
      <c r="N11" s="120"/>
      <c r="O11" s="123"/>
      <c r="P11" s="3"/>
      <c r="Q11" s="3"/>
      <c r="R11" s="3"/>
      <c r="S11" s="3"/>
      <c r="T11" s="3"/>
    </row>
    <row r="12" spans="1:20" ht="16" customHeight="1">
      <c r="A12" s="3"/>
      <c r="B12" s="3"/>
      <c r="C12" s="3"/>
      <c r="D12" s="3"/>
      <c r="E12" s="3"/>
      <c r="F12" s="3"/>
      <c r="G12" s="3"/>
      <c r="H12" s="3"/>
      <c r="I12" s="106"/>
      <c r="J12" s="124"/>
      <c r="K12" s="125"/>
      <c r="L12" s="126" t="s">
        <v>61</v>
      </c>
      <c r="M12" s="15" t="str">
        <f>IF(LHA°&gt;180,"E","W")</f>
        <v>E</v>
      </c>
      <c r="N12" s="125"/>
      <c r="O12" s="127"/>
      <c r="P12" s="3"/>
      <c r="Q12" s="3"/>
      <c r="R12" s="3"/>
      <c r="S12" s="3"/>
      <c r="T12" s="3"/>
    </row>
    <row r="13" spans="1:20" ht="16" customHeight="1" thickBot="1">
      <c r="A13" s="3"/>
      <c r="B13" s="3"/>
      <c r="C13" s="3"/>
      <c r="D13" s="3"/>
      <c r="E13" s="3"/>
      <c r="F13" s="3"/>
      <c r="G13" s="3"/>
      <c r="H13" s="3"/>
      <c r="I13" s="106"/>
      <c r="J13" s="128"/>
      <c r="K13" s="129"/>
      <c r="L13" s="130" t="s">
        <v>62</v>
      </c>
      <c r="M13" s="131" t="str">
        <f>IF(LHA°_&lt;180,"W","E")</f>
        <v>W</v>
      </c>
      <c r="N13" s="129"/>
      <c r="O13" s="132"/>
      <c r="P13" s="3"/>
      <c r="Q13" s="3"/>
      <c r="R13" s="3"/>
      <c r="S13" s="3"/>
      <c r="T13" s="3"/>
    </row>
    <row r="14" spans="1:20" ht="16" customHeight="1">
      <c r="A14" s="3"/>
      <c r="B14" s="3"/>
      <c r="C14" s="3"/>
      <c r="D14" s="3"/>
      <c r="E14" s="3"/>
      <c r="F14" s="3"/>
      <c r="G14" s="3"/>
      <c r="H14" s="3"/>
      <c r="I14" s="106"/>
      <c r="J14" s="3"/>
      <c r="K14" s="3"/>
      <c r="L14" s="3"/>
      <c r="M14" s="3"/>
      <c r="N14" s="3"/>
      <c r="O14" s="3"/>
      <c r="P14" s="3"/>
      <c r="Q14" s="3"/>
      <c r="R14" s="35"/>
      <c r="S14" s="3"/>
      <c r="T14" s="3"/>
    </row>
    <row r="15" spans="1:20" ht="16" customHeight="1" thickBot="1">
      <c r="A15" s="3"/>
      <c r="B15" s="3"/>
      <c r="C15" s="3"/>
      <c r="D15" s="3"/>
      <c r="E15" s="3"/>
      <c r="F15" s="3"/>
      <c r="G15" s="3"/>
      <c r="H15" s="3"/>
      <c r="I15" s="106"/>
      <c r="J15" s="14" t="s">
        <v>63</v>
      </c>
      <c r="K15" s="35"/>
      <c r="L15" s="35"/>
      <c r="M15" s="35"/>
      <c r="N15" s="35"/>
      <c r="O15" s="35"/>
      <c r="P15" s="35"/>
      <c r="Q15" s="35"/>
      <c r="R15" s="35"/>
      <c r="S15" s="3"/>
      <c r="T15" s="3"/>
    </row>
    <row r="16" spans="1:20" ht="16" customHeight="1" thickBot="1">
      <c r="A16" s="3"/>
      <c r="B16" s="3"/>
      <c r="C16" s="3"/>
      <c r="D16" s="3"/>
      <c r="E16" s="3"/>
      <c r="F16" s="3"/>
      <c r="G16" s="3"/>
      <c r="H16" s="3"/>
      <c r="I16" s="106"/>
      <c r="J16" s="133" t="s">
        <v>64</v>
      </c>
      <c r="K16" s="134" t="s">
        <v>69</v>
      </c>
      <c r="L16" s="170" t="s">
        <v>70</v>
      </c>
      <c r="M16" s="170" t="s">
        <v>71</v>
      </c>
      <c r="N16" s="170" t="s">
        <v>72</v>
      </c>
      <c r="O16" s="135" t="s">
        <v>73</v>
      </c>
      <c r="P16" s="135" t="s">
        <v>74</v>
      </c>
      <c r="Q16" s="136" t="s">
        <v>65</v>
      </c>
      <c r="R16" s="171" t="s">
        <v>75</v>
      </c>
      <c r="S16" s="3"/>
      <c r="T16" s="3"/>
    </row>
    <row r="17" spans="1:20" ht="16" customHeight="1">
      <c r="A17" s="3"/>
      <c r="B17" s="3"/>
      <c r="C17" s="3"/>
      <c r="D17" s="3"/>
      <c r="E17" s="3"/>
      <c r="F17" s="3"/>
      <c r="G17" s="3"/>
      <c r="H17" s="3"/>
      <c r="I17" s="106"/>
      <c r="J17" s="137"/>
      <c r="K17" s="138"/>
      <c r="L17" s="138"/>
      <c r="M17" s="138"/>
      <c r="N17" s="138"/>
      <c r="O17" s="139"/>
      <c r="P17" s="140"/>
      <c r="Q17" s="141"/>
      <c r="R17" s="142"/>
      <c r="S17" s="3"/>
      <c r="T17" s="3"/>
    </row>
    <row r="18" spans="1:20" ht="16" customHeight="1">
      <c r="A18" s="3"/>
      <c r="B18" s="3"/>
      <c r="C18" s="3"/>
      <c r="D18" s="3"/>
      <c r="E18" s="3"/>
      <c r="F18" s="3"/>
      <c r="G18" s="3"/>
      <c r="H18" s="3"/>
      <c r="I18" s="106"/>
      <c r="J18" s="143">
        <f>J19+$M$11</f>
        <v>35.313892287452916</v>
      </c>
      <c r="K18" s="144">
        <f t="shared" ref="K18:K58" si="0">RADIANS(J18)</f>
        <v>0.61634369211068518</v>
      </c>
      <c r="L18" s="144">
        <f>IFERROR(DEGREES(grt+IF(B="W",-1,1)*ACOS((SIN(h)-SIN(d)*SIN(K18))/COS(d)/COS(K18))),#N/A)</f>
        <v>372.06481933817776</v>
      </c>
      <c r="M18" s="144">
        <f>IFERROR(DEGREES(grt_+IF(B_="W",-1,1)*ACOS((SIN(h_)-SIN(d_)*SIN(K18))/COS(d_)/COS(K18))),#N/A)</f>
        <v>12.885620930824699</v>
      </c>
      <c r="N18" s="144">
        <f t="shared" ref="N18:N58" si="1">IFERROR(DEGREES(grt+IF(B="W",-1,1)*ACOS((SIN(hs)-SIN(d)*SIN(K18))/COS(d)/COS(K18))),#N/A)</f>
        <v>372.29787680960385</v>
      </c>
      <c r="O18" s="145">
        <f t="shared" ref="O18:Q40" si="2">IF(L18&lt;0,ABS(L18),IF(L18&gt;360,-(L18-360),IF(AND(L18&gt;180,L18&lt;360),360-L18,-L18)))</f>
        <v>-12.064819338177756</v>
      </c>
      <c r="P18" s="146">
        <f>IF(M18&lt;0,ABS(M18),IF(M18&gt;360,-(M18-360),IF(AND(M18&gt;180,M18&lt;360),360-M18,-M18)))</f>
        <v>-12.885620930824699</v>
      </c>
      <c r="Q18" s="147">
        <f>IF(N18&lt;0,ABS(N18),IF(N18&gt;360,-(N18-360),IF(AND(N18&gt;180,N18&lt;360),360-N18,-N18)))</f>
        <v>-12.297876809603849</v>
      </c>
      <c r="R18" s="148"/>
      <c r="S18" s="3"/>
      <c r="T18" s="3"/>
    </row>
    <row r="19" spans="1:20" ht="16" customHeight="1">
      <c r="A19" s="3"/>
      <c r="B19" s="3"/>
      <c r="C19" s="3"/>
      <c r="D19" s="3"/>
      <c r="E19" s="3"/>
      <c r="F19" s="3"/>
      <c r="G19" s="3"/>
      <c r="H19" s="3"/>
      <c r="I19" s="106"/>
      <c r="J19" s="143">
        <f>J20+$M$11</f>
        <v>35.288892287452917</v>
      </c>
      <c r="K19" s="144">
        <f t="shared" si="0"/>
        <v>0.61590735979768663</v>
      </c>
      <c r="L19" s="144">
        <f t="shared" ref="L19:L42" si="3">IFERROR(DEGREES(grt+IF(B="W",-1,1)*ACOS((SIN(h)-SIN(d)*SIN(K19))/COS(d)/COS(K19))),#N/A)</f>
        <v>372.08159686560748</v>
      </c>
      <c r="M19" s="144">
        <f t="shared" ref="M19:M58" si="4">IFERROR(DEGREES(grt_+IF(B_="W",-1,1)*ACOS((SIN(h_)-SIN(d_)*SIN(K19))/COS(d_)/COS(K19))),#N/A)</f>
        <v>12.875553617251843</v>
      </c>
      <c r="N19" s="144">
        <f t="shared" si="1"/>
        <v>372.3144041161006</v>
      </c>
      <c r="O19" s="145">
        <f t="shared" si="2"/>
        <v>-12.08159686560748</v>
      </c>
      <c r="P19" s="146">
        <f t="shared" si="2"/>
        <v>-12.875553617251843</v>
      </c>
      <c r="Q19" s="147">
        <f t="shared" si="2"/>
        <v>-12.314404116100604</v>
      </c>
      <c r="R19" s="148"/>
      <c r="S19" s="3"/>
      <c r="T19" s="3"/>
    </row>
    <row r="20" spans="1:20" ht="16" customHeight="1">
      <c r="A20" s="3"/>
      <c r="B20" s="3"/>
      <c r="C20" s="3"/>
      <c r="D20" s="3"/>
      <c r="E20" s="3"/>
      <c r="F20" s="3"/>
      <c r="G20" s="3"/>
      <c r="H20" s="3"/>
      <c r="I20" s="106"/>
      <c r="J20" s="143">
        <f t="shared" ref="J20:J35" si="5">J21+$M$11</f>
        <v>35.263892287452919</v>
      </c>
      <c r="K20" s="144">
        <f t="shared" si="0"/>
        <v>0.61547102748468807</v>
      </c>
      <c r="L20" s="144">
        <f t="shared" si="3"/>
        <v>372.09831290421653</v>
      </c>
      <c r="M20" s="144">
        <f t="shared" si="4"/>
        <v>12.865522294698847</v>
      </c>
      <c r="N20" s="144">
        <f t="shared" si="1"/>
        <v>372.33087107479258</v>
      </c>
      <c r="O20" s="145">
        <f t="shared" si="2"/>
        <v>-12.098312904216527</v>
      </c>
      <c r="P20" s="146">
        <f t="shared" si="2"/>
        <v>-12.865522294698847</v>
      </c>
      <c r="Q20" s="147">
        <f t="shared" si="2"/>
        <v>-12.330871074792583</v>
      </c>
      <c r="R20" s="148"/>
      <c r="S20" s="3"/>
      <c r="T20" s="3"/>
    </row>
    <row r="21" spans="1:20" ht="16" customHeight="1">
      <c r="A21" s="3"/>
      <c r="B21" s="3"/>
      <c r="C21" s="3"/>
      <c r="D21" s="3"/>
      <c r="E21" s="3"/>
      <c r="F21" s="3"/>
      <c r="G21" s="3"/>
      <c r="H21" s="3"/>
      <c r="I21" s="106"/>
      <c r="J21" s="143">
        <f t="shared" si="5"/>
        <v>35.23889228745292</v>
      </c>
      <c r="K21" s="144">
        <f t="shared" si="0"/>
        <v>0.61503469517168952</v>
      </c>
      <c r="L21" s="144">
        <f t="shared" si="3"/>
        <v>372.11496764891422</v>
      </c>
      <c r="M21" s="144">
        <f t="shared" si="4"/>
        <v>12.855526894448769</v>
      </c>
      <c r="N21" s="144">
        <f t="shared" si="1"/>
        <v>372.34727787348646</v>
      </c>
      <c r="O21" s="145">
        <f t="shared" si="2"/>
        <v>-12.114967648914217</v>
      </c>
      <c r="P21" s="146">
        <f t="shared" si="2"/>
        <v>-12.855526894448769</v>
      </c>
      <c r="Q21" s="147">
        <f t="shared" si="2"/>
        <v>-12.347277873486462</v>
      </c>
      <c r="R21" s="148"/>
      <c r="S21" s="3"/>
      <c r="T21" s="3"/>
    </row>
    <row r="22" spans="1:20" ht="16" customHeight="1">
      <c r="A22" s="3"/>
      <c r="B22" s="3"/>
      <c r="C22" s="3"/>
      <c r="D22" s="3"/>
      <c r="E22" s="3"/>
      <c r="F22" s="3"/>
      <c r="G22" s="3"/>
      <c r="H22" s="3"/>
      <c r="I22" s="106"/>
      <c r="J22" s="143">
        <f t="shared" si="5"/>
        <v>35.213892287452921</v>
      </c>
      <c r="K22" s="144">
        <f t="shared" si="0"/>
        <v>0.61459836285869096</v>
      </c>
      <c r="L22" s="144">
        <f t="shared" si="3"/>
        <v>372.13156129335312</v>
      </c>
      <c r="M22" s="144">
        <f t="shared" si="4"/>
        <v>12.845567348072525</v>
      </c>
      <c r="N22" s="144">
        <f t="shared" si="1"/>
        <v>372.36362469879737</v>
      </c>
      <c r="O22" s="145">
        <f t="shared" si="2"/>
        <v>-12.131561293353116</v>
      </c>
      <c r="P22" s="146">
        <f t="shared" si="2"/>
        <v>-12.845567348072525</v>
      </c>
      <c r="Q22" s="147">
        <f t="shared" si="2"/>
        <v>-12.363624698797366</v>
      </c>
      <c r="R22" s="148"/>
      <c r="S22" s="3"/>
      <c r="T22" s="3"/>
    </row>
    <row r="23" spans="1:20" ht="16" customHeight="1">
      <c r="A23" s="3"/>
      <c r="B23" s="3"/>
      <c r="C23" s="3"/>
      <c r="D23" s="3"/>
      <c r="E23" s="3"/>
      <c r="F23" s="3"/>
      <c r="G23" s="3"/>
      <c r="H23" s="3"/>
      <c r="I23" s="106"/>
      <c r="J23" s="143">
        <f t="shared" si="5"/>
        <v>35.188892287452923</v>
      </c>
      <c r="K23" s="144">
        <f t="shared" si="0"/>
        <v>0.61416203054569241</v>
      </c>
      <c r="L23" s="144">
        <f t="shared" si="3"/>
        <v>372.1480940299403</v>
      </c>
      <c r="M23" s="144">
        <f t="shared" si="4"/>
        <v>12.83564358742758</v>
      </c>
      <c r="N23" s="144">
        <f t="shared" si="1"/>
        <v>372.37991173615939</v>
      </c>
      <c r="O23" s="145">
        <f t="shared" si="2"/>
        <v>-12.148094029940296</v>
      </c>
      <c r="P23" s="146">
        <f t="shared" si="2"/>
        <v>-12.83564358742758</v>
      </c>
      <c r="Q23" s="147">
        <f t="shared" si="2"/>
        <v>-12.379911736159386</v>
      </c>
      <c r="R23" s="148"/>
      <c r="S23" s="3"/>
      <c r="T23" s="3"/>
    </row>
    <row r="24" spans="1:20" ht="16" customHeight="1">
      <c r="A24" s="3"/>
      <c r="B24" s="3"/>
      <c r="C24" s="3"/>
      <c r="D24" s="3"/>
      <c r="E24" s="3"/>
      <c r="F24" s="3"/>
      <c r="G24" s="3"/>
      <c r="H24" s="3"/>
      <c r="I24" s="106"/>
      <c r="J24" s="143">
        <f t="shared" si="5"/>
        <v>35.163892287452924</v>
      </c>
      <c r="K24" s="144">
        <f t="shared" si="0"/>
        <v>0.61372569823269385</v>
      </c>
      <c r="L24" s="144">
        <f t="shared" si="3"/>
        <v>372.16456604984756</v>
      </c>
      <c r="M24" s="144">
        <f t="shared" si="4"/>
        <v>12.825755544656497</v>
      </c>
      <c r="N24" s="144">
        <f t="shared" si="1"/>
        <v>372.39613916983529</v>
      </c>
      <c r="O24" s="145">
        <f t="shared" si="2"/>
        <v>-12.164566049847565</v>
      </c>
      <c r="P24" s="146">
        <f t="shared" si="2"/>
        <v>-12.825755544656497</v>
      </c>
      <c r="Q24" s="147">
        <f t="shared" si="2"/>
        <v>-12.396139169835294</v>
      </c>
      <c r="R24" s="148"/>
      <c r="S24" s="3"/>
      <c r="T24" s="3"/>
    </row>
    <row r="25" spans="1:20" ht="16" customHeight="1">
      <c r="A25" s="3"/>
      <c r="B25" s="3"/>
      <c r="C25" s="3"/>
      <c r="D25" s="3"/>
      <c r="E25" s="3"/>
      <c r="F25" s="3"/>
      <c r="G25" s="3"/>
      <c r="H25" s="3"/>
      <c r="I25" s="66"/>
      <c r="J25" s="143">
        <f t="shared" si="5"/>
        <v>35.138892287452926</v>
      </c>
      <c r="K25" s="144">
        <f t="shared" si="0"/>
        <v>0.6132893659196953</v>
      </c>
      <c r="L25" s="144">
        <f t="shared" si="3"/>
        <v>372.18097754302283</v>
      </c>
      <c r="M25" s="144">
        <f t="shared" si="4"/>
        <v>12.815903152185401</v>
      </c>
      <c r="N25" s="144">
        <f t="shared" si="1"/>
        <v>372.41230718292644</v>
      </c>
      <c r="O25" s="145">
        <f t="shared" si="2"/>
        <v>-12.180977543022834</v>
      </c>
      <c r="P25" s="146">
        <f t="shared" si="2"/>
        <v>-12.815903152185401</v>
      </c>
      <c r="Q25" s="147">
        <f t="shared" si="2"/>
        <v>-12.41230718292644</v>
      </c>
      <c r="R25" s="148"/>
      <c r="S25" s="3"/>
      <c r="T25" s="3"/>
    </row>
    <row r="26" spans="1:20" ht="16" customHeight="1">
      <c r="A26" s="3"/>
      <c r="B26" s="3"/>
      <c r="C26" s="3"/>
      <c r="D26" s="3"/>
      <c r="E26" s="3"/>
      <c r="F26" s="3"/>
      <c r="G26" s="3"/>
      <c r="H26" s="3"/>
      <c r="I26" s="106"/>
      <c r="J26" s="143">
        <f>J27+$M$11</f>
        <v>35.113892287452927</v>
      </c>
      <c r="K26" s="144">
        <f t="shared" si="0"/>
        <v>0.61285303360669674</v>
      </c>
      <c r="L26" s="144">
        <f t="shared" si="3"/>
        <v>372.19732869820001</v>
      </c>
      <c r="M26" s="144">
        <f t="shared" si="4"/>
        <v>12.806086342722672</v>
      </c>
      <c r="N26" s="144">
        <f t="shared" si="1"/>
        <v>372.42841595738298</v>
      </c>
      <c r="O26" s="145">
        <f t="shared" si="2"/>
        <v>-12.19732869820001</v>
      </c>
      <c r="P26" s="146">
        <f t="shared" si="2"/>
        <v>-12.806086342722672</v>
      </c>
      <c r="Q26" s="147">
        <f t="shared" si="2"/>
        <v>-12.428415957382981</v>
      </c>
      <c r="R26" s="148"/>
      <c r="S26" s="3"/>
      <c r="T26" s="3"/>
    </row>
    <row r="27" spans="1:20" ht="16" customHeight="1">
      <c r="A27" s="3"/>
      <c r="B27" s="3"/>
      <c r="C27" s="3"/>
      <c r="D27" s="3"/>
      <c r="E27" s="3"/>
      <c r="F27" s="3"/>
      <c r="G27" s="3"/>
      <c r="H27" s="3"/>
      <c r="I27" s="106"/>
      <c r="J27" s="143">
        <f t="shared" si="5"/>
        <v>35.088892287452929</v>
      </c>
      <c r="K27" s="144">
        <f t="shared" si="0"/>
        <v>0.61241670129369818</v>
      </c>
      <c r="L27" s="144">
        <f t="shared" si="3"/>
        <v>372.21361970290997</v>
      </c>
      <c r="M27" s="144">
        <f t="shared" si="4"/>
        <v>12.796305049257409</v>
      </c>
      <c r="N27" s="144">
        <f t="shared" si="1"/>
        <v>372.44446567401314</v>
      </c>
      <c r="O27" s="145">
        <f t="shared" si="2"/>
        <v>-12.213619702909966</v>
      </c>
      <c r="P27" s="146">
        <f t="shared" si="2"/>
        <v>-12.796305049257409</v>
      </c>
      <c r="Q27" s="147">
        <f t="shared" si="2"/>
        <v>-12.444465674013145</v>
      </c>
      <c r="R27" s="148"/>
      <c r="S27" s="3"/>
      <c r="T27" s="3"/>
    </row>
    <row r="28" spans="1:20" ht="16" customHeight="1">
      <c r="A28" s="3"/>
      <c r="B28" s="3"/>
      <c r="C28" s="3"/>
      <c r="D28" s="3"/>
      <c r="E28" s="3"/>
      <c r="F28" s="3"/>
      <c r="G28" s="3"/>
      <c r="H28" s="3"/>
      <c r="I28" s="106"/>
      <c r="J28" s="143">
        <f t="shared" si="5"/>
        <v>35.06389228745293</v>
      </c>
      <c r="K28" s="144">
        <f t="shared" si="0"/>
        <v>0.61198036898069963</v>
      </c>
      <c r="L28" s="144">
        <f t="shared" si="3"/>
        <v>372.22985074349037</v>
      </c>
      <c r="M28" s="144">
        <f t="shared" si="4"/>
        <v>12.786559205058115</v>
      </c>
      <c r="N28" s="144">
        <f t="shared" si="1"/>
        <v>372.46045651249312</v>
      </c>
      <c r="O28" s="145">
        <f t="shared" si="2"/>
        <v>-12.229850743490374</v>
      </c>
      <c r="P28" s="146">
        <f t="shared" si="2"/>
        <v>-12.786559205058115</v>
      </c>
      <c r="Q28" s="147">
        <f t="shared" si="2"/>
        <v>-12.460456512493124</v>
      </c>
      <c r="R28" s="148"/>
      <c r="S28" s="3"/>
      <c r="T28" s="3"/>
    </row>
    <row r="29" spans="1:20" ht="16" customHeight="1">
      <c r="A29" s="3"/>
      <c r="B29" s="3"/>
      <c r="C29" s="3"/>
      <c r="D29" s="3"/>
      <c r="E29" s="3"/>
      <c r="F29" s="3"/>
      <c r="G29" s="3"/>
      <c r="H29" s="3"/>
      <c r="I29" s="106"/>
      <c r="J29" s="143">
        <f t="shared" si="5"/>
        <v>35.038892287452931</v>
      </c>
      <c r="K29" s="144">
        <f t="shared" si="0"/>
        <v>0.61154403666770107</v>
      </c>
      <c r="L29" s="144">
        <f t="shared" si="3"/>
        <v>372.24602200509639</v>
      </c>
      <c r="M29" s="144">
        <f t="shared" si="4"/>
        <v>12.776848743671207</v>
      </c>
      <c r="N29" s="144">
        <f t="shared" si="1"/>
        <v>372.47638865137628</v>
      </c>
      <c r="O29" s="145">
        <f t="shared" si="2"/>
        <v>-12.246022005096393</v>
      </c>
      <c r="P29" s="146">
        <f t="shared" si="2"/>
        <v>-12.776848743671207</v>
      </c>
      <c r="Q29" s="147">
        <f t="shared" si="2"/>
        <v>-12.476388651376283</v>
      </c>
      <c r="R29" s="148"/>
      <c r="S29" s="3"/>
      <c r="T29" s="3"/>
    </row>
    <row r="30" spans="1:20" ht="16" customHeight="1">
      <c r="A30" s="3"/>
      <c r="B30" s="3"/>
      <c r="C30" s="3"/>
      <c r="D30" s="3"/>
      <c r="E30" s="3"/>
      <c r="F30" s="3"/>
      <c r="G30" s="3"/>
      <c r="H30" s="3"/>
      <c r="I30" s="106"/>
      <c r="J30" s="143">
        <f t="shared" si="5"/>
        <v>35.013892287452933</v>
      </c>
      <c r="K30" s="144">
        <f t="shared" si="0"/>
        <v>0.61110770435470252</v>
      </c>
      <c r="L30" s="144">
        <f t="shared" si="3"/>
        <v>372.26213367171033</v>
      </c>
      <c r="M30" s="144">
        <f t="shared" si="4"/>
        <v>12.767173598919648</v>
      </c>
      <c r="N30" s="144">
        <f t="shared" si="1"/>
        <v>372.49226226810305</v>
      </c>
      <c r="O30" s="145">
        <f t="shared" si="2"/>
        <v>-12.26213367171033</v>
      </c>
      <c r="P30" s="146">
        <f t="shared" si="2"/>
        <v>-12.767173598919648</v>
      </c>
      <c r="Q30" s="147">
        <f t="shared" si="2"/>
        <v>-12.492262268103048</v>
      </c>
      <c r="R30" s="148"/>
      <c r="S30" s="3"/>
      <c r="T30" s="3"/>
    </row>
    <row r="31" spans="1:20" ht="16" customHeight="1">
      <c r="A31" s="3"/>
      <c r="B31" s="3"/>
      <c r="C31" s="3"/>
      <c r="D31" s="3"/>
      <c r="E31" s="3"/>
      <c r="F31" s="3"/>
      <c r="G31" s="3"/>
      <c r="H31" s="3"/>
      <c r="I31" s="106"/>
      <c r="J31" s="143">
        <f t="shared" si="5"/>
        <v>34.988892287452934</v>
      </c>
      <c r="K31" s="144">
        <f t="shared" si="0"/>
        <v>0.61067137204170396</v>
      </c>
      <c r="L31" s="144">
        <f t="shared" si="3"/>
        <v>372.27818592615165</v>
      </c>
      <c r="M31" s="144">
        <f t="shared" si="4"/>
        <v>12.757533704901606</v>
      </c>
      <c r="N31" s="144">
        <f t="shared" si="1"/>
        <v>372.50807753900949</v>
      </c>
      <c r="O31" s="145">
        <f t="shared" si="2"/>
        <v>-12.27818592615165</v>
      </c>
      <c r="P31" s="146">
        <f t="shared" si="2"/>
        <v>-12.757533704901606</v>
      </c>
      <c r="Q31" s="147">
        <f t="shared" si="2"/>
        <v>-12.508077539009491</v>
      </c>
      <c r="R31" s="148"/>
      <c r="S31" s="3"/>
      <c r="T31" s="3"/>
    </row>
    <row r="32" spans="1:20" ht="16" customHeight="1">
      <c r="A32" s="3"/>
      <c r="B32" s="3"/>
      <c r="C32" s="3"/>
      <c r="D32" s="3"/>
      <c r="E32" s="3"/>
      <c r="F32" s="3"/>
      <c r="G32" s="3"/>
      <c r="H32" s="3"/>
      <c r="I32" s="106"/>
      <c r="J32" s="143">
        <f t="shared" si="5"/>
        <v>34.963892287452936</v>
      </c>
      <c r="K32" s="144">
        <f t="shared" si="0"/>
        <v>0.61023503972870541</v>
      </c>
      <c r="L32" s="144">
        <f t="shared" si="3"/>
        <v>372.29417895008703</v>
      </c>
      <c r="M32" s="144">
        <f t="shared" si="4"/>
        <v>12.747928995989112</v>
      </c>
      <c r="N32" s="144">
        <f t="shared" si="1"/>
        <v>372.52383463933728</v>
      </c>
      <c r="O32" s="145">
        <f t="shared" si="2"/>
        <v>-12.29417895008703</v>
      </c>
      <c r="P32" s="146">
        <f t="shared" si="2"/>
        <v>-12.747928995989112</v>
      </c>
      <c r="Q32" s="147">
        <f t="shared" si="2"/>
        <v>-12.523834639337281</v>
      </c>
      <c r="R32" s="148"/>
      <c r="S32" s="3"/>
      <c r="T32" s="3"/>
    </row>
    <row r="33" spans="1:20" ht="16" customHeight="1">
      <c r="A33" s="3"/>
      <c r="B33" s="3"/>
      <c r="C33" s="3"/>
      <c r="D33" s="3"/>
      <c r="E33" s="3"/>
      <c r="F33" s="3"/>
      <c r="G33" s="3"/>
      <c r="H33" s="3"/>
      <c r="I33" s="106"/>
      <c r="J33" s="143">
        <f t="shared" si="5"/>
        <v>34.938892287452937</v>
      </c>
      <c r="K33" s="144">
        <f t="shared" si="0"/>
        <v>0.60979870741570685</v>
      </c>
      <c r="L33" s="144">
        <f t="shared" si="3"/>
        <v>372.31011292404008</v>
      </c>
      <c r="M33" s="144">
        <f t="shared" si="4"/>
        <v>12.738359406826545</v>
      </c>
      <c r="N33" s="144">
        <f t="shared" si="1"/>
        <v>372.5395337432422</v>
      </c>
      <c r="O33" s="145">
        <f t="shared" si="2"/>
        <v>-12.310112924040084</v>
      </c>
      <c r="P33" s="146">
        <f t="shared" si="2"/>
        <v>-12.738359406826545</v>
      </c>
      <c r="Q33" s="147">
        <f t="shared" si="2"/>
        <v>-12.539533743242202</v>
      </c>
      <c r="R33" s="148"/>
      <c r="S33" s="3"/>
      <c r="T33" s="3"/>
    </row>
    <row r="34" spans="1:20" ht="16" customHeight="1">
      <c r="A34" s="3"/>
      <c r="B34" s="3"/>
      <c r="C34" s="3"/>
      <c r="D34" s="3"/>
      <c r="E34" s="3"/>
      <c r="F34" s="3"/>
      <c r="G34" s="3"/>
      <c r="H34" s="3"/>
      <c r="I34" s="106"/>
      <c r="J34" s="143">
        <f t="shared" si="5"/>
        <v>34.913892287452938</v>
      </c>
      <c r="K34" s="144">
        <f t="shared" si="0"/>
        <v>0.6093623751027083</v>
      </c>
      <c r="L34" s="144">
        <f t="shared" si="3"/>
        <v>372.32598802740074</v>
      </c>
      <c r="M34" s="144">
        <f t="shared" si="4"/>
        <v>12.728824872329394</v>
      </c>
      <c r="N34" s="144">
        <f t="shared" si="1"/>
        <v>372.5551750238032</v>
      </c>
      <c r="O34" s="145">
        <f t="shared" si="2"/>
        <v>-12.32598802740074</v>
      </c>
      <c r="P34" s="146">
        <f t="shared" si="2"/>
        <v>-12.728824872329394</v>
      </c>
      <c r="Q34" s="147">
        <f t="shared" si="2"/>
        <v>-12.555175023803201</v>
      </c>
      <c r="R34" s="148"/>
      <c r="S34" s="3"/>
      <c r="T34" s="3"/>
    </row>
    <row r="35" spans="1:20" ht="16" customHeight="1">
      <c r="A35" s="3"/>
      <c r="B35" s="3"/>
      <c r="C35" s="3"/>
      <c r="D35" s="3"/>
      <c r="E35" s="3"/>
      <c r="F35" s="3"/>
      <c r="G35" s="3"/>
      <c r="H35" s="3"/>
      <c r="I35" s="106"/>
      <c r="J35" s="143">
        <f t="shared" si="5"/>
        <v>34.88889228745294</v>
      </c>
      <c r="K35" s="144">
        <f t="shared" si="0"/>
        <v>0.60892604278970974</v>
      </c>
      <c r="L35" s="144">
        <f t="shared" si="3"/>
        <v>372.34180443843508</v>
      </c>
      <c r="M35" s="144">
        <f t="shared" si="4"/>
        <v>12.719325327682938</v>
      </c>
      <c r="N35" s="144">
        <f t="shared" si="1"/>
        <v>372.57075865303165</v>
      </c>
      <c r="O35" s="145">
        <f t="shared" si="2"/>
        <v>-12.341804438435076</v>
      </c>
      <c r="P35" s="146">
        <f t="shared" si="2"/>
        <v>-12.719325327682938</v>
      </c>
      <c r="Q35" s="147">
        <f t="shared" si="2"/>
        <v>-12.570758653031646</v>
      </c>
      <c r="R35" s="148"/>
      <c r="S35" s="3"/>
      <c r="T35" s="3"/>
    </row>
    <row r="36" spans="1:20">
      <c r="A36" s="3"/>
      <c r="B36" s="3"/>
      <c r="C36" s="3"/>
      <c r="D36" s="3"/>
      <c r="E36" s="3"/>
      <c r="F36" s="3"/>
      <c r="G36" s="3"/>
      <c r="H36" s="3"/>
      <c r="I36" s="106"/>
      <c r="J36" s="143">
        <f>J37+$M$11</f>
        <v>34.863892287452941</v>
      </c>
      <c r="K36" s="144">
        <f t="shared" si="0"/>
        <v>0.60848971047671119</v>
      </c>
      <c r="L36" s="144">
        <f t="shared" si="3"/>
        <v>372.35756233429441</v>
      </c>
      <c r="M36" s="144">
        <f t="shared" si="4"/>
        <v>12.709860708340821</v>
      </c>
      <c r="N36" s="144">
        <f t="shared" si="1"/>
        <v>372.58628480187974</v>
      </c>
      <c r="O36" s="145">
        <f t="shared" si="2"/>
        <v>-12.357562334294414</v>
      </c>
      <c r="P36" s="146">
        <f t="shared" si="2"/>
        <v>-12.709860708340821</v>
      </c>
      <c r="Q36" s="147">
        <f t="shared" si="2"/>
        <v>-12.586284801879742</v>
      </c>
      <c r="R36" s="148"/>
      <c r="S36" s="3"/>
      <c r="T36" s="3"/>
    </row>
    <row r="37" spans="1:20">
      <c r="A37" s="3"/>
      <c r="B37" s="3"/>
      <c r="C37" s="3"/>
      <c r="D37" s="3"/>
      <c r="E37" s="3"/>
      <c r="F37" s="3"/>
      <c r="G37" s="3"/>
      <c r="H37" s="3"/>
      <c r="I37" s="106"/>
      <c r="J37" s="143">
        <f>J38+$M$11</f>
        <v>34.838892287452943</v>
      </c>
      <c r="K37" s="144">
        <f>RADIANS(J37)</f>
        <v>0.60805337816371263</v>
      </c>
      <c r="L37" s="144">
        <f t="shared" si="3"/>
        <v>372.37326189102504</v>
      </c>
      <c r="M37" s="144">
        <f t="shared" si="4"/>
        <v>12.700430950023783</v>
      </c>
      <c r="N37" s="144">
        <f t="shared" si="1"/>
        <v>372.6017536402494</v>
      </c>
      <c r="O37" s="145">
        <f t="shared" si="2"/>
        <v>-12.373261891025038</v>
      </c>
      <c r="P37" s="146">
        <f t="shared" si="2"/>
        <v>-12.700430950023783</v>
      </c>
      <c r="Q37" s="147">
        <f t="shared" si="2"/>
        <v>-12.601753640249399</v>
      </c>
      <c r="R37" s="148"/>
      <c r="S37" s="3"/>
      <c r="T37" s="3"/>
    </row>
    <row r="38" spans="1:20">
      <c r="A38" s="3"/>
      <c r="B38" s="3"/>
      <c r="C38" s="3"/>
      <c r="D38" s="3"/>
      <c r="E38" s="3"/>
      <c r="F38" s="3"/>
      <c r="G38" s="3"/>
      <c r="H38" s="3"/>
      <c r="I38" s="106"/>
      <c r="J38" s="149">
        <f>lat-vb/2</f>
        <v>34.813892287452944</v>
      </c>
      <c r="K38" s="150">
        <f>RADIANS(J38)</f>
        <v>0.60761704585071408</v>
      </c>
      <c r="L38" s="150">
        <f t="shared" si="3"/>
        <v>372.38890328357678</v>
      </c>
      <c r="M38" s="150">
        <f t="shared" si="4"/>
        <v>12.691035988718337</v>
      </c>
      <c r="N38" s="150">
        <f t="shared" si="1"/>
        <v>372.61716533700047</v>
      </c>
      <c r="O38" s="151">
        <f>IF(L38&lt;0,ABS(L38),IF(L38&gt;360,-(L38-360),IF(AND(L38&gt;180,L38&lt;360),360-L38,-L38)))</f>
        <v>-12.388903283576781</v>
      </c>
      <c r="P38" s="152">
        <f t="shared" si="2"/>
        <v>-12.691035988718337</v>
      </c>
      <c r="Q38" s="153">
        <f t="shared" si="2"/>
        <v>-12.617165337000472</v>
      </c>
      <c r="R38" s="148"/>
      <c r="S38" s="3"/>
      <c r="T38" s="3"/>
    </row>
    <row r="39" spans="1:20">
      <c r="A39" s="3"/>
      <c r="B39" s="3"/>
      <c r="C39" s="3"/>
      <c r="D39" s="3"/>
      <c r="E39" s="3"/>
      <c r="F39" s="3"/>
      <c r="G39" s="3"/>
      <c r="H39" s="3"/>
      <c r="I39" s="106"/>
      <c r="J39" s="143">
        <f t="shared" ref="J39:J58" si="6">J38-$M$11</f>
        <v>34.788892287452946</v>
      </c>
      <c r="K39" s="144">
        <f t="shared" si="0"/>
        <v>0.60718071353771552</v>
      </c>
      <c r="L39" s="144">
        <f t="shared" si="3"/>
        <v>372.40448668581303</v>
      </c>
      <c r="M39" s="144">
        <f t="shared" si="4"/>
        <v>12.681675760675441</v>
      </c>
      <c r="N39" s="144">
        <f t="shared" si="1"/>
        <v>372.63252005996003</v>
      </c>
      <c r="O39" s="145">
        <f t="shared" si="2"/>
        <v>-12.404486685813026</v>
      </c>
      <c r="P39" s="146">
        <f t="shared" si="2"/>
        <v>-12.681675760675441</v>
      </c>
      <c r="Q39" s="147">
        <f t="shared" si="2"/>
        <v>-12.632520059960029</v>
      </c>
      <c r="R39" s="148"/>
      <c r="S39" s="3"/>
      <c r="T39" s="3"/>
    </row>
    <row r="40" spans="1:20">
      <c r="A40" s="3"/>
      <c r="B40" s="3"/>
      <c r="C40" s="3"/>
      <c r="D40" s="3"/>
      <c r="E40" s="3"/>
      <c r="F40" s="3"/>
      <c r="G40" s="3"/>
      <c r="H40" s="3"/>
      <c r="I40" s="106"/>
      <c r="J40" s="143">
        <f t="shared" si="6"/>
        <v>34.763892287452947</v>
      </c>
      <c r="K40" s="144">
        <f t="shared" si="0"/>
        <v>0.60674438122471697</v>
      </c>
      <c r="L40" s="144">
        <f t="shared" si="3"/>
        <v>372.42001227051855</v>
      </c>
      <c r="M40" s="144">
        <f t="shared" si="4"/>
        <v>12.672350202409163</v>
      </c>
      <c r="N40" s="144">
        <f t="shared" si="1"/>
        <v>372.64781797592985</v>
      </c>
      <c r="O40" s="145">
        <f t="shared" si="2"/>
        <v>-12.420012270518555</v>
      </c>
      <c r="P40" s="146">
        <f t="shared" si="2"/>
        <v>-12.672350202409163</v>
      </c>
      <c r="Q40" s="147">
        <f t="shared" si="2"/>
        <v>-12.647817975929854</v>
      </c>
      <c r="R40" s="148"/>
      <c r="S40" s="3"/>
      <c r="T40" s="3"/>
    </row>
    <row r="41" spans="1:20">
      <c r="A41" s="3"/>
      <c r="B41" s="3"/>
      <c r="C41" s="3"/>
      <c r="D41" s="3"/>
      <c r="E41" s="3"/>
      <c r="F41" s="3"/>
      <c r="G41" s="3"/>
      <c r="H41" s="3"/>
      <c r="I41" s="106"/>
      <c r="J41" s="143">
        <f t="shared" si="6"/>
        <v>34.738892287452948</v>
      </c>
      <c r="K41" s="144">
        <f t="shared" si="0"/>
        <v>0.60630804891171841</v>
      </c>
      <c r="L41" s="144">
        <f t="shared" si="3"/>
        <v>372.4354802094096</v>
      </c>
      <c r="M41" s="144">
        <f t="shared" si="4"/>
        <v>12.663059250695561</v>
      </c>
      <c r="N41" s="144">
        <f t="shared" si="1"/>
        <v>372.66305925069548</v>
      </c>
      <c r="O41" s="145">
        <f t="shared" ref="O41:Q58" si="7">IF(L41&lt;0,ABS(L41),IF(L41&gt;360,-(L41-360),IF(AND(L41&gt;180,L41&lt;360),360-L41,-L41)))</f>
        <v>-12.435480209409604</v>
      </c>
      <c r="P41" s="146">
        <f t="shared" si="7"/>
        <v>-12.663059250695561</v>
      </c>
      <c r="Q41" s="147">
        <f t="shared" si="7"/>
        <v>-12.663059250695483</v>
      </c>
      <c r="R41" s="148"/>
      <c r="S41" s="3"/>
      <c r="T41" s="3"/>
    </row>
    <row r="42" spans="1:20">
      <c r="A42" s="3"/>
      <c r="B42" s="3"/>
      <c r="C42" s="3"/>
      <c r="D42" s="3"/>
      <c r="E42" s="3"/>
      <c r="F42" s="3"/>
      <c r="G42" s="3"/>
      <c r="H42" s="3"/>
      <c r="I42" s="66"/>
      <c r="J42" s="143">
        <f t="shared" si="6"/>
        <v>34.71389228745295</v>
      </c>
      <c r="K42" s="144">
        <f t="shared" si="0"/>
        <v>0.60587171659871986</v>
      </c>
      <c r="L42" s="144">
        <f t="shared" si="3"/>
        <v>372.45089067314206</v>
      </c>
      <c r="M42" s="144">
        <f t="shared" si="4"/>
        <v>12.653802842571151</v>
      </c>
      <c r="N42" s="144">
        <f t="shared" si="1"/>
        <v>372.67824404903394</v>
      </c>
      <c r="O42" s="145">
        <f t="shared" si="7"/>
        <v>-12.450890673142055</v>
      </c>
      <c r="P42" s="146">
        <f t="shared" si="7"/>
        <v>-12.653802842571151</v>
      </c>
      <c r="Q42" s="147">
        <f t="shared" si="7"/>
        <v>-12.678244049033935</v>
      </c>
      <c r="R42" s="148"/>
      <c r="S42" s="3"/>
      <c r="T42" s="3"/>
    </row>
    <row r="43" spans="1:20">
      <c r="A43" s="3"/>
      <c r="B43" s="3"/>
      <c r="C43" s="3"/>
      <c r="D43" s="3"/>
      <c r="E43" s="3"/>
      <c r="F43" s="3"/>
      <c r="G43" s="3"/>
      <c r="H43" s="3"/>
      <c r="I43" s="106"/>
      <c r="J43" s="143">
        <f t="shared" si="6"/>
        <v>34.688892287452951</v>
      </c>
      <c r="K43" s="144">
        <f t="shared" si="0"/>
        <v>0.6054353842857213</v>
      </c>
      <c r="L43" s="144">
        <f t="shared" ref="L43:L58" si="8">IFERROR(DEGREES(grt+IF(B="W",-1,1)*ACOS((SIN(h)-SIN(d)*SIN(K43))/COS(d)/COS(K43))),#N/A)</f>
        <v>372.46624383132013</v>
      </c>
      <c r="M43" s="144">
        <f t="shared" si="4"/>
        <v>12.644580915331847</v>
      </c>
      <c r="N43" s="144">
        <f t="shared" si="1"/>
        <v>372.69337253472213</v>
      </c>
      <c r="O43" s="145">
        <f t="shared" si="7"/>
        <v>-12.466243831320128</v>
      </c>
      <c r="P43" s="146">
        <f t="shared" si="7"/>
        <v>-12.644580915331847</v>
      </c>
      <c r="Q43" s="147">
        <f t="shared" si="7"/>
        <v>-12.69337253472213</v>
      </c>
      <c r="R43" s="148"/>
      <c r="S43" s="3"/>
      <c r="T43" s="3"/>
    </row>
    <row r="44" spans="1:20">
      <c r="A44" s="3"/>
      <c r="B44" s="3"/>
      <c r="C44" s="3"/>
      <c r="D44" s="3"/>
      <c r="E44" s="3"/>
      <c r="F44" s="3"/>
      <c r="G44" s="3"/>
      <c r="H44" s="3"/>
      <c r="I44" s="106"/>
      <c r="J44" s="143">
        <f t="shared" si="6"/>
        <v>34.663892287452953</v>
      </c>
      <c r="K44" s="144">
        <f t="shared" si="0"/>
        <v>0.60499905197272275</v>
      </c>
      <c r="L44" s="144">
        <f t="shared" si="8"/>
        <v>372.48153985250502</v>
      </c>
      <c r="M44" s="144">
        <f t="shared" si="4"/>
        <v>12.635393406531552</v>
      </c>
      <c r="N44" s="144">
        <f t="shared" si="1"/>
        <v>372.70844487054507</v>
      </c>
      <c r="O44" s="145">
        <f t="shared" si="7"/>
        <v>-12.481539852505023</v>
      </c>
      <c r="P44" s="146">
        <f t="shared" si="7"/>
        <v>-12.635393406531552</v>
      </c>
      <c r="Q44" s="147">
        <f t="shared" si="7"/>
        <v>-12.708444870545065</v>
      </c>
      <c r="R44" s="148"/>
      <c r="S44" s="3"/>
      <c r="T44" s="3"/>
    </row>
    <row r="45" spans="1:20">
      <c r="A45" s="3"/>
      <c r="B45" s="3"/>
      <c r="C45" s="3"/>
      <c r="D45" s="3"/>
      <c r="E45" s="3"/>
      <c r="F45" s="3"/>
      <c r="G45" s="3"/>
      <c r="H45" s="3"/>
      <c r="I45" s="106"/>
      <c r="J45" s="143">
        <f t="shared" si="6"/>
        <v>34.638892287452954</v>
      </c>
      <c r="K45" s="144">
        <f t="shared" si="0"/>
        <v>0.60456271965972419</v>
      </c>
      <c r="L45" s="144">
        <f t="shared" si="8"/>
        <v>372.4967789042239</v>
      </c>
      <c r="M45" s="144">
        <f t="shared" si="4"/>
        <v>12.626240253981008</v>
      </c>
      <c r="N45" s="144">
        <f t="shared" si="1"/>
        <v>372.72346121830321</v>
      </c>
      <c r="O45" s="145">
        <f t="shared" si="7"/>
        <v>-12.496778904223902</v>
      </c>
      <c r="P45" s="146">
        <f t="shared" si="7"/>
        <v>-12.626240253981008</v>
      </c>
      <c r="Q45" s="147">
        <f t="shared" si="7"/>
        <v>-12.723461218303214</v>
      </c>
      <c r="R45" s="148"/>
      <c r="S45" s="3"/>
      <c r="T45" s="3"/>
    </row>
    <row r="46" spans="1:20">
      <c r="A46" s="3"/>
      <c r="B46" s="3"/>
      <c r="C46" s="3"/>
      <c r="D46" s="3"/>
      <c r="E46" s="3"/>
      <c r="F46" s="3"/>
      <c r="G46" s="3"/>
      <c r="H46" s="3"/>
      <c r="I46" s="106"/>
      <c r="J46" s="143">
        <f t="shared" si="6"/>
        <v>34.613892287452956</v>
      </c>
      <c r="K46" s="144">
        <f t="shared" si="0"/>
        <v>0.60412638734672564</v>
      </c>
      <c r="L46" s="144">
        <f t="shared" si="8"/>
        <v>372.51196115297751</v>
      </c>
      <c r="M46" s="144">
        <f t="shared" si="4"/>
        <v>12.617121395746471</v>
      </c>
      <c r="N46" s="144">
        <f t="shared" si="1"/>
        <v>372.73842173882093</v>
      </c>
      <c r="O46" s="145">
        <f t="shared" si="7"/>
        <v>-12.511961152977506</v>
      </c>
      <c r="P46" s="146">
        <f t="shared" si="7"/>
        <v>-12.617121395746471</v>
      </c>
      <c r="Q46" s="147">
        <f t="shared" si="7"/>
        <v>-12.738421738820932</v>
      </c>
      <c r="R46" s="148"/>
      <c r="S46" s="3"/>
      <c r="T46" s="3"/>
    </row>
    <row r="47" spans="1:20">
      <c r="A47" s="3"/>
      <c r="B47" s="3"/>
      <c r="C47" s="3"/>
      <c r="D47" s="3"/>
      <c r="E47" s="3"/>
      <c r="F47" s="3"/>
      <c r="G47" s="3"/>
      <c r="H47" s="3"/>
      <c r="I47" s="106"/>
      <c r="J47" s="143">
        <f t="shared" si="6"/>
        <v>34.588892287452957</v>
      </c>
      <c r="K47" s="144">
        <f t="shared" si="0"/>
        <v>0.60369005503372708</v>
      </c>
      <c r="L47" s="144">
        <f t="shared" si="8"/>
        <v>372.52708676424919</v>
      </c>
      <c r="M47" s="144">
        <f t="shared" si="4"/>
        <v>12.608036770148511</v>
      </c>
      <c r="N47" s="144">
        <f t="shared" si="1"/>
        <v>372.75332659195419</v>
      </c>
      <c r="O47" s="145">
        <f t="shared" si="7"/>
        <v>-12.527086764249191</v>
      </c>
      <c r="P47" s="146">
        <f t="shared" si="7"/>
        <v>-12.608036770148511</v>
      </c>
      <c r="Q47" s="147">
        <f t="shared" si="7"/>
        <v>-12.753326591954192</v>
      </c>
      <c r="R47" s="148"/>
      <c r="S47" s="3"/>
      <c r="T47" s="3"/>
    </row>
    <row r="48" spans="1:20">
      <c r="A48" s="3"/>
      <c r="B48" s="3"/>
      <c r="C48" s="3"/>
      <c r="D48" s="3"/>
      <c r="E48" s="3"/>
      <c r="F48" s="3"/>
      <c r="G48" s="3"/>
      <c r="H48" s="3"/>
      <c r="I48" s="106"/>
      <c r="J48" s="143">
        <f t="shared" si="6"/>
        <v>34.563892287452958</v>
      </c>
      <c r="K48" s="144">
        <f t="shared" si="0"/>
        <v>0.60325372272072852</v>
      </c>
      <c r="L48" s="144">
        <f t="shared" si="8"/>
        <v>372.54215590251289</v>
      </c>
      <c r="M48" s="144">
        <f t="shared" si="4"/>
        <v>12.59898631576081</v>
      </c>
      <c r="N48" s="144">
        <f t="shared" si="1"/>
        <v>372.76817593659808</v>
      </c>
      <c r="O48" s="145">
        <f t="shared" si="7"/>
        <v>-12.542155902512889</v>
      </c>
      <c r="P48" s="146">
        <f t="shared" si="7"/>
        <v>-12.59898631576081</v>
      </c>
      <c r="Q48" s="147">
        <f t="shared" si="7"/>
        <v>-12.768175936598084</v>
      </c>
      <c r="R48" s="148"/>
      <c r="S48" s="3"/>
      <c r="T48" s="3"/>
    </row>
    <row r="49" spans="1:20">
      <c r="A49" s="3"/>
      <c r="B49" s="3"/>
      <c r="C49" s="3"/>
      <c r="D49" s="3"/>
      <c r="E49" s="3"/>
      <c r="F49" s="3"/>
      <c r="G49" s="3"/>
      <c r="H49" s="3"/>
      <c r="I49" s="106"/>
      <c r="J49" s="143">
        <f t="shared" si="6"/>
        <v>34.53889228745296</v>
      </c>
      <c r="K49" s="144">
        <f t="shared" si="0"/>
        <v>0.60281739040772997</v>
      </c>
      <c r="L49" s="144">
        <f t="shared" si="8"/>
        <v>372.55716873124118</v>
      </c>
      <c r="M49" s="144">
        <f t="shared" si="4"/>
        <v>12.58996997140887</v>
      </c>
      <c r="N49" s="144">
        <f t="shared" si="1"/>
        <v>372.78296993069461</v>
      </c>
      <c r="O49" s="145">
        <f t="shared" si="7"/>
        <v>-12.557168731241177</v>
      </c>
      <c r="P49" s="146">
        <f t="shared" si="7"/>
        <v>-12.58996997140887</v>
      </c>
      <c r="Q49" s="147">
        <f t="shared" si="7"/>
        <v>-12.782969930694605</v>
      </c>
      <c r="R49" s="148"/>
      <c r="S49" s="3"/>
      <c r="T49" s="3"/>
    </row>
    <row r="50" spans="1:20">
      <c r="A50" s="3"/>
      <c r="B50" s="3"/>
      <c r="C50" s="3"/>
      <c r="D50" s="3"/>
      <c r="E50" s="3"/>
      <c r="F50" s="3"/>
      <c r="G50" s="3"/>
      <c r="H50" s="3"/>
      <c r="I50" s="106"/>
      <c r="J50" s="143">
        <f t="shared" si="6"/>
        <v>34.513892287452961</v>
      </c>
      <c r="K50" s="144">
        <f t="shared" si="0"/>
        <v>0.60238105809473141</v>
      </c>
      <c r="L50" s="144">
        <f t="shared" si="8"/>
        <v>372.57212541291369</v>
      </c>
      <c r="M50" s="144">
        <f t="shared" si="4"/>
        <v>12.58098767616881</v>
      </c>
      <c r="N50" s="144">
        <f t="shared" si="1"/>
        <v>372.79770873123999</v>
      </c>
      <c r="O50" s="145">
        <f t="shared" si="7"/>
        <v>-12.572125412913692</v>
      </c>
      <c r="P50" s="146">
        <f t="shared" si="7"/>
        <v>-12.58098767616881</v>
      </c>
      <c r="Q50" s="147">
        <f t="shared" si="7"/>
        <v>-12.797708731239993</v>
      </c>
      <c r="R50" s="148"/>
      <c r="S50" s="3"/>
      <c r="T50" s="3"/>
    </row>
    <row r="51" spans="1:20">
      <c r="A51" s="3"/>
      <c r="B51" s="3"/>
      <c r="C51" s="3"/>
      <c r="D51" s="3"/>
      <c r="E51" s="3"/>
      <c r="F51" s="3"/>
      <c r="G51" s="3"/>
      <c r="H51" s="3"/>
      <c r="I51" s="106"/>
      <c r="J51" s="143">
        <f t="shared" si="6"/>
        <v>34.488892287452963</v>
      </c>
      <c r="K51" s="144">
        <f t="shared" si="0"/>
        <v>0.60194472578173286</v>
      </c>
      <c r="L51" s="144">
        <f t="shared" si="8"/>
        <v>372.58702610902458</v>
      </c>
      <c r="M51" s="144">
        <f t="shared" si="4"/>
        <v>12.57203936936626</v>
      </c>
      <c r="N51" s="144">
        <f t="shared" si="1"/>
        <v>372.81239249429262</v>
      </c>
      <c r="O51" s="145">
        <f t="shared" si="7"/>
        <v>-12.587026109024578</v>
      </c>
      <c r="P51" s="146">
        <f t="shared" si="7"/>
        <v>-12.57203936936626</v>
      </c>
      <c r="Q51" s="147">
        <f t="shared" si="7"/>
        <v>-12.812392494292624</v>
      </c>
      <c r="R51" s="148"/>
      <c r="S51" s="3"/>
      <c r="T51" s="3"/>
    </row>
    <row r="52" spans="1:20">
      <c r="A52" s="3"/>
      <c r="B52" s="3"/>
      <c r="C52" s="3"/>
      <c r="D52" s="3"/>
      <c r="E52" s="3"/>
      <c r="F52" s="3"/>
      <c r="G52" s="3"/>
      <c r="H52" s="3"/>
      <c r="I52" s="106"/>
      <c r="J52" s="143">
        <f t="shared" si="6"/>
        <v>34.463892287452964</v>
      </c>
      <c r="K52" s="144">
        <f t="shared" si="0"/>
        <v>0.6015083934687343</v>
      </c>
      <c r="L52" s="144">
        <f t="shared" si="8"/>
        <v>372.60187098009084</v>
      </c>
      <c r="M52" s="144">
        <f t="shared" si="4"/>
        <v>12.563124990575041</v>
      </c>
      <c r="N52" s="144">
        <f t="shared" si="1"/>
        <v>372.82702137497989</v>
      </c>
      <c r="O52" s="145">
        <f t="shared" si="7"/>
        <v>-12.601870980090837</v>
      </c>
      <c r="P52" s="146">
        <f t="shared" si="7"/>
        <v>-12.563124990575041</v>
      </c>
      <c r="Q52" s="147">
        <f t="shared" si="7"/>
        <v>-12.827021374979893</v>
      </c>
      <c r="R52" s="148"/>
      <c r="S52" s="3"/>
      <c r="T52" s="3"/>
    </row>
    <row r="53" spans="1:20">
      <c r="A53" s="3"/>
      <c r="B53" s="3"/>
      <c r="C53" s="3"/>
      <c r="D53" s="3"/>
      <c r="E53" s="3"/>
      <c r="F53" s="3"/>
      <c r="G53" s="3"/>
      <c r="H53" s="3"/>
      <c r="I53" s="106"/>
      <c r="J53" s="143">
        <f t="shared" si="6"/>
        <v>34.438892287452965</v>
      </c>
      <c r="K53" s="144">
        <f t="shared" si="0"/>
        <v>0.60107206115573564</v>
      </c>
      <c r="L53" s="144">
        <f t="shared" si="8"/>
        <v>372.6166601856599</v>
      </c>
      <c r="M53" s="144">
        <f t="shared" si="4"/>
        <v>12.554244479616008</v>
      </c>
      <c r="N53" s="144">
        <f t="shared" si="1"/>
        <v>372.84159552750589</v>
      </c>
      <c r="O53" s="145">
        <f t="shared" si="7"/>
        <v>-12.616660185659896</v>
      </c>
      <c r="P53" s="146">
        <f t="shared" si="7"/>
        <v>-12.554244479616008</v>
      </c>
      <c r="Q53" s="147">
        <f t="shared" si="7"/>
        <v>-12.841595527505888</v>
      </c>
      <c r="R53" s="148"/>
      <c r="S53" s="3"/>
      <c r="T53" s="3"/>
    </row>
    <row r="54" spans="1:20">
      <c r="A54" s="3"/>
      <c r="B54" s="3"/>
      <c r="C54" s="3"/>
      <c r="D54" s="3"/>
      <c r="E54" s="3"/>
      <c r="F54" s="3"/>
      <c r="G54" s="3"/>
      <c r="H54" s="3"/>
      <c r="I54" s="106"/>
      <c r="J54" s="143">
        <f t="shared" si="6"/>
        <v>34.413892287452967</v>
      </c>
      <c r="K54" s="144">
        <f t="shared" si="0"/>
        <v>0.60063572884273708</v>
      </c>
      <c r="L54" s="144">
        <f t="shared" si="8"/>
        <v>372.63139388431762</v>
      </c>
      <c r="M54" s="144">
        <f t="shared" si="4"/>
        <v>12.545397776555969</v>
      </c>
      <c r="N54" s="144">
        <f t="shared" si="1"/>
        <v>372.85611510515844</v>
      </c>
      <c r="O54" s="145">
        <f t="shared" si="7"/>
        <v>-12.631393884317617</v>
      </c>
      <c r="P54" s="146">
        <f t="shared" si="7"/>
        <v>-12.545397776555969</v>
      </c>
      <c r="Q54" s="147">
        <f t="shared" si="7"/>
        <v>-12.856115105158437</v>
      </c>
      <c r="R54" s="148"/>
      <c r="S54" s="3"/>
      <c r="T54" s="3"/>
    </row>
    <row r="55" spans="1:20">
      <c r="A55" s="3"/>
      <c r="B55" s="3"/>
      <c r="C55" s="3"/>
      <c r="D55" s="3"/>
      <c r="E55" s="3"/>
      <c r="F55" s="3"/>
      <c r="G55" s="3"/>
      <c r="H55" s="3"/>
      <c r="I55" s="106"/>
      <c r="J55" s="143">
        <f t="shared" si="6"/>
        <v>34.388892287452968</v>
      </c>
      <c r="K55" s="144">
        <f t="shared" si="0"/>
        <v>0.60019939652973853</v>
      </c>
      <c r="L55" s="144">
        <f t="shared" si="8"/>
        <v>372.64607223369546</v>
      </c>
      <c r="M55" s="144">
        <f t="shared" si="4"/>
        <v>12.53658482170632</v>
      </c>
      <c r="N55" s="144">
        <f t="shared" si="1"/>
        <v>372.8705802603165</v>
      </c>
      <c r="O55" s="145">
        <f t="shared" si="7"/>
        <v>-12.646072233695463</v>
      </c>
      <c r="P55" s="146">
        <f t="shared" si="7"/>
        <v>-12.53658482170632</v>
      </c>
      <c r="Q55" s="147">
        <f t="shared" si="7"/>
        <v>-12.870580260316501</v>
      </c>
      <c r="R55" s="148"/>
      <c r="S55" s="3"/>
      <c r="T55" s="3"/>
    </row>
    <row r="56" spans="1:20">
      <c r="A56" s="3"/>
      <c r="B56" s="3"/>
      <c r="C56" s="3"/>
      <c r="D56" s="3"/>
      <c r="E56" s="3"/>
      <c r="F56" s="3"/>
      <c r="G56" s="3"/>
      <c r="H56" s="3"/>
      <c r="I56" s="106"/>
      <c r="J56" s="143">
        <f t="shared" si="6"/>
        <v>34.36389228745297</v>
      </c>
      <c r="K56" s="144">
        <f t="shared" si="0"/>
        <v>0.59976306421673997</v>
      </c>
      <c r="L56" s="144">
        <f t="shared" si="8"/>
        <v>372.66069539047862</v>
      </c>
      <c r="M56" s="144">
        <f t="shared" si="4"/>
        <v>12.527805555622065</v>
      </c>
      <c r="N56" s="144">
        <f t="shared" si="1"/>
        <v>372.88499114445676</v>
      </c>
      <c r="O56" s="145">
        <f t="shared" si="7"/>
        <v>-12.660695390478622</v>
      </c>
      <c r="P56" s="146">
        <f t="shared" si="7"/>
        <v>-12.527805555622065</v>
      </c>
      <c r="Q56" s="147">
        <f t="shared" si="7"/>
        <v>-12.884991144456762</v>
      </c>
      <c r="R56" s="148"/>
      <c r="S56" s="3"/>
      <c r="T56" s="3"/>
    </row>
    <row r="57" spans="1:20">
      <c r="A57" s="3"/>
      <c r="B57" s="3"/>
      <c r="C57" s="3"/>
      <c r="D57" s="3"/>
      <c r="E57" s="3"/>
      <c r="F57" s="3"/>
      <c r="G57" s="3"/>
      <c r="H57" s="3"/>
      <c r="I57" s="106"/>
      <c r="J57" s="143">
        <f t="shared" si="6"/>
        <v>34.338892287452971</v>
      </c>
      <c r="K57" s="144">
        <f t="shared" si="0"/>
        <v>0.59932673190374142</v>
      </c>
      <c r="L57" s="144">
        <f t="shared" si="8"/>
        <v>372.675263510413</v>
      </c>
      <c r="M57" s="144">
        <f t="shared" si="4"/>
        <v>12.51905991910057</v>
      </c>
      <c r="N57" s="144">
        <f t="shared" si="1"/>
        <v>372.8993479081613</v>
      </c>
      <c r="O57" s="145">
        <f t="shared" si="7"/>
        <v>-12.675263510413004</v>
      </c>
      <c r="P57" s="146">
        <f t="shared" si="7"/>
        <v>-12.51905991910057</v>
      </c>
      <c r="Q57" s="147">
        <f t="shared" si="7"/>
        <v>-12.899347908161303</v>
      </c>
      <c r="R57" s="148"/>
      <c r="S57" s="3"/>
      <c r="T57" s="3"/>
    </row>
    <row r="58" spans="1:20" ht="17" thickBot="1">
      <c r="A58" s="3"/>
      <c r="B58" s="3"/>
      <c r="C58" s="3"/>
      <c r="D58" s="3"/>
      <c r="E58" s="3"/>
      <c r="F58" s="3"/>
      <c r="G58" s="3"/>
      <c r="H58" s="3"/>
      <c r="I58" s="106"/>
      <c r="J58" s="143">
        <f t="shared" si="6"/>
        <v>34.313892287452973</v>
      </c>
      <c r="K58" s="144">
        <f t="shared" si="0"/>
        <v>0.59889039959074286</v>
      </c>
      <c r="L58" s="144">
        <f t="shared" si="8"/>
        <v>372.68977674831297</v>
      </c>
      <c r="M58" s="144">
        <f t="shared" si="4"/>
        <v>12.510347853180424</v>
      </c>
      <c r="N58" s="144">
        <f t="shared" si="1"/>
        <v>372.91365070112391</v>
      </c>
      <c r="O58" s="145">
        <f t="shared" si="7"/>
        <v>-12.689776748312966</v>
      </c>
      <c r="P58" s="146">
        <f t="shared" si="7"/>
        <v>-12.510347853180424</v>
      </c>
      <c r="Q58" s="147">
        <f t="shared" si="7"/>
        <v>-12.913650701123913</v>
      </c>
      <c r="R58" s="154"/>
      <c r="S58" s="3"/>
      <c r="T58" s="3"/>
    </row>
    <row r="59" spans="1:20">
      <c r="A59" s="3"/>
      <c r="B59" s="3"/>
      <c r="C59" s="3"/>
      <c r="D59" s="3"/>
      <c r="E59" s="3"/>
      <c r="F59" s="3"/>
      <c r="G59" s="3"/>
      <c r="H59" s="3"/>
      <c r="I59" s="106"/>
      <c r="J59" s="155">
        <f>J60-vb</f>
        <v>34.88889228745294</v>
      </c>
      <c r="K59" s="156"/>
      <c r="L59" s="157"/>
      <c r="M59" s="158"/>
      <c r="N59" s="158"/>
      <c r="O59" s="159"/>
      <c r="P59" s="160"/>
      <c r="Q59" s="161"/>
      <c r="R59" s="162">
        <f>R60-vl</f>
        <v>-12.346898285126883</v>
      </c>
      <c r="S59" s="3"/>
      <c r="T59" s="3"/>
    </row>
    <row r="60" spans="1:20" ht="17" thickBot="1">
      <c r="A60" s="3"/>
      <c r="B60" s="3"/>
      <c r="C60" s="3"/>
      <c r="D60" s="3"/>
      <c r="E60" s="3"/>
      <c r="F60" s="3"/>
      <c r="G60" s="3"/>
      <c r="H60" s="3"/>
      <c r="I60" s="106"/>
      <c r="J60" s="163">
        <f>lat</f>
        <v>34.738892287452941</v>
      </c>
      <c r="K60" s="164"/>
      <c r="L60" s="164"/>
      <c r="M60" s="165"/>
      <c r="N60" s="165"/>
      <c r="O60" s="166"/>
      <c r="P60" s="167"/>
      <c r="Q60" s="168"/>
      <c r="R60" s="169">
        <f>lon</f>
        <v>-12.663059250695477</v>
      </c>
      <c r="S60" s="3"/>
      <c r="T60" s="3"/>
    </row>
  </sheetData>
  <sheetProtection algorithmName="SHA-512" hashValue="SZUiOklXd19FhR5gG2MeHv7YIN5HiMSvv5fkMh3JM4ah9r7OQNCgmt4H27XLz3Abcf5DTkbaqCB3SDOjZ88q2Q==" saltValue="yf2nl3gxtmEjR5k3tFLWGg==" spinCount="100000" sheet="1" objects="1" scenarios="1" selectLockedCells="1" selectUnlockedCells="1"/>
  <mergeCells count="5">
    <mergeCell ref="F2:H2"/>
    <mergeCell ref="J7:L7"/>
    <mergeCell ref="J8:L8"/>
    <mergeCell ref="J9:L9"/>
    <mergeCell ref="J10:L10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8222-9834-FD46-ABE7-86E1E4C4E4B4}">
  <dimension ref="B1:AE197"/>
  <sheetViews>
    <sheetView showGridLines="0" showRowColHeaders="0" workbookViewId="0">
      <selection activeCell="J40" sqref="J40"/>
    </sheetView>
  </sheetViews>
  <sheetFormatPr baseColWidth="10" defaultRowHeight="16"/>
  <cols>
    <col min="1" max="1" width="4.83203125" customWidth="1"/>
    <col min="11" max="11" width="10.83203125" customWidth="1"/>
    <col min="26" max="26" width="5.5" customWidth="1"/>
  </cols>
  <sheetData>
    <row r="1" spans="2:31" ht="17" thickBot="1"/>
    <row r="2" spans="2:31" ht="23" customHeight="1" thickBot="1">
      <c r="B2" s="325" t="s">
        <v>136</v>
      </c>
      <c r="C2" s="3"/>
      <c r="D2" s="3"/>
      <c r="E2" s="3"/>
      <c r="F2" s="3"/>
      <c r="G2" s="3"/>
      <c r="H2" s="419" t="s">
        <v>54</v>
      </c>
      <c r="I2" s="420"/>
      <c r="J2" s="421"/>
      <c r="K2" s="106"/>
    </row>
    <row r="3" spans="2:31" ht="16" customHeight="1"/>
    <row r="4" spans="2:31" ht="16" customHeight="1"/>
    <row r="5" spans="2:31" ht="20" customHeight="1" thickBot="1">
      <c r="M5" s="241" t="s">
        <v>137</v>
      </c>
      <c r="AA5" s="241" t="s">
        <v>123</v>
      </c>
      <c r="AB5" s="242"/>
      <c r="AC5" s="242"/>
      <c r="AD5" s="242"/>
      <c r="AE5" s="242"/>
    </row>
    <row r="6" spans="2:31" ht="19" thickBot="1">
      <c r="M6" s="221" t="s">
        <v>64</v>
      </c>
      <c r="N6" s="222" t="s">
        <v>113</v>
      </c>
      <c r="O6" s="223" t="s">
        <v>114</v>
      </c>
      <c r="P6" s="224" t="s">
        <v>115</v>
      </c>
      <c r="Q6" s="225" t="s">
        <v>116</v>
      </c>
      <c r="R6" s="225" t="s">
        <v>117</v>
      </c>
      <c r="S6" s="225" t="s">
        <v>118</v>
      </c>
      <c r="T6" s="226" t="s">
        <v>119</v>
      </c>
      <c r="U6" s="226" t="s">
        <v>120</v>
      </c>
      <c r="V6" s="226" t="s">
        <v>121</v>
      </c>
      <c r="W6" s="226" t="s">
        <v>122</v>
      </c>
      <c r="X6" s="226" t="s">
        <v>139</v>
      </c>
      <c r="Y6" s="227" t="s">
        <v>142</v>
      </c>
      <c r="AA6" s="243"/>
      <c r="AB6" s="244"/>
      <c r="AC6" s="245"/>
      <c r="AD6" s="246" t="s">
        <v>124</v>
      </c>
      <c r="AE6" s="247">
        <f>MAX(L8:L9)</f>
        <v>50.926548348965106</v>
      </c>
    </row>
    <row r="7" spans="2:31" ht="17" thickBot="1">
      <c r="M7" s="302"/>
      <c r="N7" s="303">
        <f>IF(MIN(L8:L9)=0,MAX(L8:L9)+1,MIN(L8:L9)+(add+2)*(step+0.0001))</f>
        <v>51.717191675042784</v>
      </c>
      <c r="O7" s="230"/>
      <c r="P7" s="228"/>
      <c r="Q7" s="229"/>
      <c r="R7" s="229"/>
      <c r="S7" s="230"/>
      <c r="T7" s="231"/>
      <c r="U7" s="232"/>
      <c r="V7" s="232"/>
      <c r="W7" s="286"/>
      <c r="X7" s="300"/>
      <c r="Y7" s="301"/>
      <c r="AA7" s="248"/>
      <c r="AB7" s="249"/>
      <c r="AC7" s="250"/>
      <c r="AD7" s="251" t="s">
        <v>125</v>
      </c>
      <c r="AE7" s="252">
        <f>MIN(L192:L193)</f>
        <v>-4.8109321746560827</v>
      </c>
    </row>
    <row r="8" spans="2:31">
      <c r="L8" s="239">
        <f>IFERROR(90-DEGREES(h)+DEGREES(d)-0.01,0)</f>
        <v>44.784434244733362</v>
      </c>
      <c r="M8" s="304">
        <f>IF(N8&gt;maxn,maxn,IF(N8&lt;mins,mins,N8))</f>
        <v>50.926548348965106</v>
      </c>
      <c r="N8" s="305">
        <f>N7-step</f>
        <v>51.402166337301445</v>
      </c>
      <c r="O8" s="306">
        <f t="shared" ref="O8:O10" si="0">RADIANS(M8)</f>
        <v>0.88883594536552324</v>
      </c>
      <c r="P8" s="233" t="e">
        <f>IFERROR(DEGREES(grt+ACOS((SIN(h)-SIN(d)*SIN(O8))/COS(d)/COS(O8))),#N/A)</f>
        <v>#N/A</v>
      </c>
      <c r="Q8" s="234" t="e">
        <f t="shared" ref="Q8:Q10" si="1">IFERROR(DEGREES(grt-ACOS((SIN(h)-SIN(d)*SIN(O8))/COS(d)/COS(O8))),#N/A)</f>
        <v>#N/A</v>
      </c>
      <c r="R8" s="234">
        <f t="shared" ref="R8:R39" si="2">IFERROR(DEGREES(grt_+ACOS((SIN(h_)-SIN(d_)*SIN(O8))/COS(d_)/COS(O8))),#N/A)</f>
        <v>42.70997502370404</v>
      </c>
      <c r="S8" s="235">
        <f t="shared" ref="S8:S39" si="3">IFERROR(DEGREES(grt_-ACOS((SIN(h_)-SIN(d_)*SIN(O8))/COS(d_)/COS(O8))),#N/A)</f>
        <v>40.787704270236461</v>
      </c>
      <c r="T8" s="236" t="e">
        <f>IF(P8&lt;0,ABS(P8),IF(P8&gt;360,-(P8-360),IF(AND(P8&gt;180,P8&lt;360),ABS(360-P8),-P8)))</f>
        <v>#N/A</v>
      </c>
      <c r="U8" s="237" t="e">
        <f>IF(Q8&lt;0,ABS(Q8),IF(Q8&gt;360,Q8-(Q8-360),IF(AND(Q8&gt;180,Q8&lt;360),ABS(360-Q8),-Q8)))</f>
        <v>#N/A</v>
      </c>
      <c r="V8" s="238">
        <f>IF(R8&lt;0,ABS(R8),IF(R8&gt;360,-(R8-360),IF(AND(R8&gt;180,R8&lt;360),ABS(360-R8),-R8)))</f>
        <v>-42.70997502370404</v>
      </c>
      <c r="W8" s="238">
        <f>IF(S8&lt;0,ABS(S8),IF(S8&gt;360,-(S8-360),IF(AND(S8&gt;180,S8&lt;360),ABS(360-S8),-S8)))</f>
        <v>-40.787704270236461</v>
      </c>
      <c r="X8" s="238"/>
      <c r="Y8" s="297"/>
      <c r="AA8" s="253"/>
      <c r="AB8" s="254"/>
      <c r="AC8" s="255"/>
      <c r="AD8" s="256" t="s">
        <v>126</v>
      </c>
      <c r="AE8" s="257">
        <f>MIN(L8:L9)</f>
        <v>44.784434244733362</v>
      </c>
    </row>
    <row r="9" spans="2:31" ht="17" thickBot="1">
      <c r="L9" s="240">
        <f>IFERROR(90-DEGREES(h_)+DEGREES(d_)-0.01,0)</f>
        <v>50.926548348965106</v>
      </c>
      <c r="M9" s="304">
        <f t="shared" ref="M9:M10" si="4">IF(N9&gt;maxn,maxn,IF(N9&lt;mins,mins,N9))</f>
        <v>50.926548348965106</v>
      </c>
      <c r="N9" s="305">
        <f t="shared" ref="N9:N71" si="5">N8-step</f>
        <v>51.087140999560106</v>
      </c>
      <c r="O9" s="306">
        <f t="shared" si="0"/>
        <v>0.88883594536552324</v>
      </c>
      <c r="P9" s="233" t="e">
        <f t="shared" ref="P9:P10" si="6">IFERROR(DEGREES(grt+ACOS((SIN(h)-SIN(d)*SIN(O9))/COS(d)/COS(O9))),#N/A)</f>
        <v>#N/A</v>
      </c>
      <c r="Q9" s="234" t="e">
        <f t="shared" si="1"/>
        <v>#N/A</v>
      </c>
      <c r="R9" s="234">
        <f t="shared" si="2"/>
        <v>42.70997502370404</v>
      </c>
      <c r="S9" s="235">
        <f t="shared" si="3"/>
        <v>40.787704270236461</v>
      </c>
      <c r="T9" s="236" t="e">
        <f t="shared" ref="T9:T38" si="7">IF(P9&lt;0,ABS(P9),IF(P9&gt;360,-(P9-360),IF(AND(P9&gt;180,P9&lt;360),ABS(360-P9),-P9)))</f>
        <v>#N/A</v>
      </c>
      <c r="U9" s="237" t="e">
        <f t="shared" ref="U9:U38" si="8">IF(Q9&lt;0,ABS(Q9),IF(Q9&gt;360,Q9-(Q9-360),IF(AND(Q9&gt;180,Q9&lt;360),ABS(360-Q9),-Q9)))</f>
        <v>#N/A</v>
      </c>
      <c r="V9" s="238">
        <f t="shared" ref="V9:V38" si="9">IF(R9&lt;0,ABS(R9),IF(R9&gt;360,-(R9-360),IF(AND(R9&gt;180,R9&lt;360),ABS(360-R9),-R9)))</f>
        <v>-42.70997502370404</v>
      </c>
      <c r="W9" s="238">
        <f t="shared" ref="W9:W38" si="10">IF(S9&lt;0,ABS(S9),IF(S9&gt;360,-(S9-360),IF(AND(S9&gt;180,S9&lt;360),ABS(360-S9),-S9)))</f>
        <v>-40.787704270236461</v>
      </c>
      <c r="X9" s="238"/>
      <c r="Y9" s="297"/>
      <c r="AA9" s="248"/>
      <c r="AB9" s="249"/>
      <c r="AC9" s="250"/>
      <c r="AD9" s="251" t="s">
        <v>127</v>
      </c>
      <c r="AE9" s="252">
        <f>MAX(L192:L193)</f>
        <v>1.3109376364288059</v>
      </c>
    </row>
    <row r="10" spans="2:31">
      <c r="M10" s="304">
        <f t="shared" si="4"/>
        <v>50.772115661818766</v>
      </c>
      <c r="N10" s="305">
        <f t="shared" si="5"/>
        <v>50.772115661818766</v>
      </c>
      <c r="O10" s="306">
        <f t="shared" si="0"/>
        <v>0.88614058650211736</v>
      </c>
      <c r="P10" s="233" t="e">
        <f t="shared" si="6"/>
        <v>#N/A</v>
      </c>
      <c r="Q10" s="234" t="e">
        <f t="shared" si="1"/>
        <v>#N/A</v>
      </c>
      <c r="R10" s="234">
        <f t="shared" si="2"/>
        <v>45.63556292121072</v>
      </c>
      <c r="S10" s="235">
        <f t="shared" si="3"/>
        <v>37.862116372729773</v>
      </c>
      <c r="T10" s="236" t="e">
        <f t="shared" si="7"/>
        <v>#N/A</v>
      </c>
      <c r="U10" s="237" t="e">
        <f t="shared" si="8"/>
        <v>#N/A</v>
      </c>
      <c r="V10" s="238">
        <f t="shared" si="9"/>
        <v>-45.63556292121072</v>
      </c>
      <c r="W10" s="238">
        <f t="shared" si="10"/>
        <v>-37.862116372729773</v>
      </c>
      <c r="X10" s="238"/>
      <c r="Y10" s="297"/>
      <c r="AA10" s="258"/>
      <c r="AB10" s="255"/>
      <c r="AC10" s="255"/>
      <c r="AD10" s="259" t="s">
        <v>128</v>
      </c>
      <c r="AE10" s="257">
        <f>IF(minn=0,AE6,minn)</f>
        <v>44.784434244733362</v>
      </c>
    </row>
    <row r="11" spans="2:31">
      <c r="M11" s="304">
        <f t="shared" ref="M11:M38" si="11">IF(N11&gt;maxn,maxn,IF(N11&lt;mins,mins,N11))</f>
        <v>50.457090324077427</v>
      </c>
      <c r="N11" s="305">
        <f>N10-step</f>
        <v>50.457090324077427</v>
      </c>
      <c r="O11" s="306">
        <f t="shared" ref="O11:O38" si="12">RADIANS(M11)</f>
        <v>0.88064235713132377</v>
      </c>
      <c r="P11" s="233" t="e">
        <f t="shared" ref="P11:P38" si="13">IFERROR(DEGREES(grt+ACOS((SIN(h)-SIN(d)*SIN(O11))/COS(d)/COS(O11))),#N/A)</f>
        <v>#N/A</v>
      </c>
      <c r="Q11" s="234" t="e">
        <f t="shared" ref="Q11:Q38" si="14">IFERROR(DEGREES(grt-ACOS((SIN(h)-SIN(d)*SIN(O11))/COS(d)/COS(O11))),#N/A)</f>
        <v>#N/A</v>
      </c>
      <c r="R11" s="234">
        <f t="shared" si="2"/>
        <v>48.348637973405395</v>
      </c>
      <c r="S11" s="235">
        <f t="shared" si="3"/>
        <v>35.149041320535098</v>
      </c>
      <c r="T11" s="236" t="e">
        <f t="shared" si="7"/>
        <v>#N/A</v>
      </c>
      <c r="U11" s="237" t="e">
        <f t="shared" si="8"/>
        <v>#N/A</v>
      </c>
      <c r="V11" s="238">
        <f t="shared" si="9"/>
        <v>-48.348637973405395</v>
      </c>
      <c r="W11" s="238">
        <f t="shared" si="10"/>
        <v>-35.149041320535098</v>
      </c>
      <c r="X11" s="238"/>
      <c r="Y11" s="297"/>
      <c r="AA11" s="260"/>
      <c r="AB11" s="250"/>
      <c r="AC11" s="250"/>
      <c r="AD11" s="261" t="s">
        <v>129</v>
      </c>
      <c r="AE11" s="252">
        <f>IF(maxs=0,AE7,maxs)</f>
        <v>1.3109376364288059</v>
      </c>
    </row>
    <row r="12" spans="2:31">
      <c r="M12" s="304">
        <f t="shared" si="11"/>
        <v>50.142064986336088</v>
      </c>
      <c r="N12" s="305">
        <f t="shared" si="5"/>
        <v>50.142064986336088</v>
      </c>
      <c r="O12" s="306">
        <f t="shared" si="12"/>
        <v>0.8751441277605303</v>
      </c>
      <c r="P12" s="233" t="e">
        <f t="shared" si="13"/>
        <v>#N/A</v>
      </c>
      <c r="Q12" s="234" t="e">
        <f t="shared" si="14"/>
        <v>#N/A</v>
      </c>
      <c r="R12" s="234">
        <f t="shared" si="2"/>
        <v>50.197116604302344</v>
      </c>
      <c r="S12" s="235">
        <f t="shared" si="3"/>
        <v>33.300562689638149</v>
      </c>
      <c r="T12" s="236" t="e">
        <f t="shared" si="7"/>
        <v>#N/A</v>
      </c>
      <c r="U12" s="237" t="e">
        <f t="shared" si="8"/>
        <v>#N/A</v>
      </c>
      <c r="V12" s="238">
        <f t="shared" si="9"/>
        <v>-50.197116604302344</v>
      </c>
      <c r="W12" s="238">
        <f t="shared" si="10"/>
        <v>-33.300562689638149</v>
      </c>
      <c r="X12" s="238"/>
      <c r="Y12" s="297"/>
      <c r="AA12" s="253"/>
      <c r="AB12" s="254"/>
      <c r="AC12" s="255"/>
      <c r="AD12" s="256" t="s">
        <v>130</v>
      </c>
      <c r="AE12" s="262">
        <f>maxn-mins</f>
        <v>55.737480523621187</v>
      </c>
    </row>
    <row r="13" spans="2:31">
      <c r="M13" s="304">
        <f t="shared" si="11"/>
        <v>49.827039648594749</v>
      </c>
      <c r="N13" s="305">
        <f t="shared" si="5"/>
        <v>49.827039648594749</v>
      </c>
      <c r="O13" s="306">
        <f t="shared" si="12"/>
        <v>0.86964589838973672</v>
      </c>
      <c r="P13" s="233" t="e">
        <f t="shared" si="13"/>
        <v>#N/A</v>
      </c>
      <c r="Q13" s="234" t="e">
        <f t="shared" si="14"/>
        <v>#N/A</v>
      </c>
      <c r="R13" s="234">
        <f t="shared" si="2"/>
        <v>51.676931434404487</v>
      </c>
      <c r="S13" s="235">
        <f t="shared" si="3"/>
        <v>31.820747859536009</v>
      </c>
      <c r="T13" s="236" t="e">
        <f t="shared" si="7"/>
        <v>#N/A</v>
      </c>
      <c r="U13" s="237" t="e">
        <f t="shared" si="8"/>
        <v>#N/A</v>
      </c>
      <c r="V13" s="238">
        <f t="shared" si="9"/>
        <v>-51.676931434404487</v>
      </c>
      <c r="W13" s="238">
        <f t="shared" si="10"/>
        <v>-31.820747859536009</v>
      </c>
      <c r="X13" s="238"/>
      <c r="Y13" s="297"/>
      <c r="AA13" s="260"/>
      <c r="AB13" s="250"/>
      <c r="AC13" s="250"/>
      <c r="AD13" s="251" t="s">
        <v>131</v>
      </c>
      <c r="AE13" s="263">
        <f>AE10-AE11</f>
        <v>43.473496608304558</v>
      </c>
    </row>
    <row r="14" spans="2:31">
      <c r="M14" s="304">
        <f t="shared" si="11"/>
        <v>49.512014310853409</v>
      </c>
      <c r="N14" s="305">
        <f t="shared" si="5"/>
        <v>49.512014310853409</v>
      </c>
      <c r="O14" s="306">
        <f t="shared" si="12"/>
        <v>0.86414766901894324</v>
      </c>
      <c r="P14" s="233" t="e">
        <f t="shared" si="13"/>
        <v>#N/A</v>
      </c>
      <c r="Q14" s="234" t="e">
        <f t="shared" si="14"/>
        <v>#N/A</v>
      </c>
      <c r="R14" s="234">
        <f t="shared" si="2"/>
        <v>52.935890783085227</v>
      </c>
      <c r="S14" s="235">
        <f t="shared" si="3"/>
        <v>30.561788510855269</v>
      </c>
      <c r="T14" s="236" t="e">
        <f t="shared" si="7"/>
        <v>#N/A</v>
      </c>
      <c r="U14" s="237" t="e">
        <f t="shared" si="8"/>
        <v>#N/A</v>
      </c>
      <c r="V14" s="238">
        <f t="shared" si="9"/>
        <v>-52.935890783085227</v>
      </c>
      <c r="W14" s="238">
        <f t="shared" si="10"/>
        <v>-30.561788510855269</v>
      </c>
      <c r="X14" s="238"/>
      <c r="Y14" s="297"/>
      <c r="AA14" s="264"/>
      <c r="AB14" s="265"/>
      <c r="AC14" s="255"/>
      <c r="AD14" s="256" t="s">
        <v>132</v>
      </c>
      <c r="AE14" s="266">
        <v>178</v>
      </c>
    </row>
    <row r="15" spans="2:31">
      <c r="M15" s="304">
        <f t="shared" si="11"/>
        <v>49.19698897311207</v>
      </c>
      <c r="N15" s="305">
        <f t="shared" si="5"/>
        <v>49.19698897311207</v>
      </c>
      <c r="O15" s="306">
        <f t="shared" si="12"/>
        <v>0.85864943964814966</v>
      </c>
      <c r="P15" s="233" t="e">
        <f t="shared" si="13"/>
        <v>#N/A</v>
      </c>
      <c r="Q15" s="234" t="e">
        <f t="shared" si="14"/>
        <v>#N/A</v>
      </c>
      <c r="R15" s="234">
        <f t="shared" si="2"/>
        <v>54.042507757042387</v>
      </c>
      <c r="S15" s="235">
        <f t="shared" si="3"/>
        <v>29.45517153689811</v>
      </c>
      <c r="T15" s="236" t="e">
        <f t="shared" si="7"/>
        <v>#N/A</v>
      </c>
      <c r="U15" s="237" t="e">
        <f t="shared" si="8"/>
        <v>#N/A</v>
      </c>
      <c r="V15" s="238">
        <f t="shared" si="9"/>
        <v>-54.042507757042387</v>
      </c>
      <c r="W15" s="238">
        <f t="shared" si="10"/>
        <v>-29.45517153689811</v>
      </c>
      <c r="X15" s="238"/>
      <c r="Y15" s="297"/>
      <c r="AA15" s="267"/>
      <c r="AB15" s="268"/>
      <c r="AC15" s="250"/>
      <c r="AD15" s="251" t="s">
        <v>133</v>
      </c>
      <c r="AE15" s="269">
        <f>ROUNDDOWN(AE13*AE14/AE12,0)</f>
        <v>138</v>
      </c>
    </row>
    <row r="16" spans="2:31">
      <c r="M16" s="304">
        <f t="shared" si="11"/>
        <v>48.881963635370731</v>
      </c>
      <c r="N16" s="305">
        <f t="shared" si="5"/>
        <v>48.881963635370731</v>
      </c>
      <c r="O16" s="306">
        <f t="shared" si="12"/>
        <v>0.85315121027735619</v>
      </c>
      <c r="P16" s="233" t="e">
        <f t="shared" si="13"/>
        <v>#N/A</v>
      </c>
      <c r="Q16" s="234" t="e">
        <f t="shared" si="14"/>
        <v>#N/A</v>
      </c>
      <c r="R16" s="234">
        <f t="shared" si="2"/>
        <v>55.035326908245118</v>
      </c>
      <c r="S16" s="235">
        <f t="shared" si="3"/>
        <v>28.462352385695375</v>
      </c>
      <c r="T16" s="236" t="e">
        <f t="shared" si="7"/>
        <v>#N/A</v>
      </c>
      <c r="U16" s="237" t="e">
        <f t="shared" si="8"/>
        <v>#N/A</v>
      </c>
      <c r="V16" s="238">
        <f t="shared" si="9"/>
        <v>-55.035326908245118</v>
      </c>
      <c r="W16" s="238">
        <f t="shared" si="10"/>
        <v>-28.462352385695375</v>
      </c>
      <c r="X16" s="238"/>
      <c r="Y16" s="297"/>
      <c r="AA16" s="264"/>
      <c r="AB16" s="265"/>
      <c r="AC16" s="255"/>
      <c r="AD16" s="256" t="s">
        <v>134</v>
      </c>
      <c r="AE16" s="270">
        <f>ROUNDUP((AE14-AE15)/2,0)</f>
        <v>20</v>
      </c>
    </row>
    <row r="17" spans="13:31" ht="17" thickBot="1">
      <c r="M17" s="304">
        <f t="shared" si="11"/>
        <v>48.566938297629392</v>
      </c>
      <c r="N17" s="305">
        <f t="shared" si="5"/>
        <v>48.566938297629392</v>
      </c>
      <c r="O17" s="306">
        <f t="shared" si="12"/>
        <v>0.8476529809065626</v>
      </c>
      <c r="P17" s="233" t="e">
        <f t="shared" si="13"/>
        <v>#N/A</v>
      </c>
      <c r="Q17" s="234" t="e">
        <f t="shared" si="14"/>
        <v>#N/A</v>
      </c>
      <c r="R17" s="234">
        <f t="shared" si="2"/>
        <v>55.938640761427493</v>
      </c>
      <c r="S17" s="235">
        <f t="shared" si="3"/>
        <v>27.559038532513004</v>
      </c>
      <c r="T17" s="236" t="e">
        <f t="shared" si="7"/>
        <v>#N/A</v>
      </c>
      <c r="U17" s="237" t="e">
        <f t="shared" si="8"/>
        <v>#N/A</v>
      </c>
      <c r="V17" s="238">
        <f t="shared" si="9"/>
        <v>-55.938640761427493</v>
      </c>
      <c r="W17" s="238">
        <f t="shared" si="10"/>
        <v>-27.559038532513004</v>
      </c>
      <c r="X17" s="238"/>
      <c r="Y17" s="297"/>
      <c r="AA17" s="271"/>
      <c r="AB17" s="272"/>
      <c r="AC17" s="273"/>
      <c r="AD17" s="274" t="s">
        <v>135</v>
      </c>
      <c r="AE17" s="275">
        <f>IF(minn=0,AE12/AE15,AE13/AE15)</f>
        <v>0.3150253377413374</v>
      </c>
    </row>
    <row r="18" spans="13:31">
      <c r="M18" s="304">
        <f t="shared" si="11"/>
        <v>48.251912959888053</v>
      </c>
      <c r="N18" s="305">
        <f t="shared" si="5"/>
        <v>48.251912959888053</v>
      </c>
      <c r="O18" s="306">
        <f t="shared" si="12"/>
        <v>0.84215475153576913</v>
      </c>
      <c r="P18" s="233" t="e">
        <f t="shared" si="13"/>
        <v>#N/A</v>
      </c>
      <c r="Q18" s="234" t="e">
        <f t="shared" si="14"/>
        <v>#N/A</v>
      </c>
      <c r="R18" s="234">
        <f t="shared" si="2"/>
        <v>56.768961093607174</v>
      </c>
      <c r="S18" s="235">
        <f t="shared" si="3"/>
        <v>26.728718200333322</v>
      </c>
      <c r="T18" s="236" t="e">
        <f t="shared" si="7"/>
        <v>#N/A</v>
      </c>
      <c r="U18" s="237" t="e">
        <f t="shared" si="8"/>
        <v>#N/A</v>
      </c>
      <c r="V18" s="238">
        <f t="shared" si="9"/>
        <v>-56.768961093607174</v>
      </c>
      <c r="W18" s="238">
        <f t="shared" si="10"/>
        <v>-26.728718200333322</v>
      </c>
      <c r="X18" s="238"/>
      <c r="Y18" s="297"/>
    </row>
    <row r="19" spans="13:31">
      <c r="M19" s="304">
        <f t="shared" si="11"/>
        <v>47.936887622146713</v>
      </c>
      <c r="N19" s="305">
        <f t="shared" si="5"/>
        <v>47.936887622146713</v>
      </c>
      <c r="O19" s="306">
        <f t="shared" si="12"/>
        <v>0.83665652216497555</v>
      </c>
      <c r="P19" s="233" t="e">
        <f t="shared" si="13"/>
        <v>#N/A</v>
      </c>
      <c r="Q19" s="234" t="e">
        <f t="shared" si="14"/>
        <v>#N/A</v>
      </c>
      <c r="R19" s="234">
        <f t="shared" si="2"/>
        <v>57.538135617689434</v>
      </c>
      <c r="S19" s="235">
        <f t="shared" si="3"/>
        <v>25.959543676251059</v>
      </c>
      <c r="T19" s="236" t="e">
        <f t="shared" si="7"/>
        <v>#N/A</v>
      </c>
      <c r="U19" s="237" t="e">
        <f t="shared" si="8"/>
        <v>#N/A</v>
      </c>
      <c r="V19" s="238">
        <f t="shared" si="9"/>
        <v>-57.538135617689434</v>
      </c>
      <c r="W19" s="238">
        <f t="shared" si="10"/>
        <v>-25.959543676251059</v>
      </c>
      <c r="X19" s="238"/>
      <c r="Y19" s="297"/>
    </row>
    <row r="20" spans="13:31">
      <c r="M20" s="304">
        <f t="shared" si="11"/>
        <v>47.621862284405374</v>
      </c>
      <c r="N20" s="305">
        <f t="shared" si="5"/>
        <v>47.621862284405374</v>
      </c>
      <c r="O20" s="306">
        <f t="shared" si="12"/>
        <v>0.83115829279418207</v>
      </c>
      <c r="P20" s="233" t="e">
        <f t="shared" si="13"/>
        <v>#N/A</v>
      </c>
      <c r="Q20" s="234" t="e">
        <f t="shared" si="14"/>
        <v>#N/A</v>
      </c>
      <c r="R20" s="234">
        <f t="shared" si="2"/>
        <v>58.255019601853881</v>
      </c>
      <c r="S20" s="235">
        <f t="shared" si="3"/>
        <v>25.242659692086619</v>
      </c>
      <c r="T20" s="236" t="e">
        <f t="shared" si="7"/>
        <v>#N/A</v>
      </c>
      <c r="U20" s="237" t="e">
        <f t="shared" si="8"/>
        <v>#N/A</v>
      </c>
      <c r="V20" s="238">
        <f t="shared" si="9"/>
        <v>-58.255019601853881</v>
      </c>
      <c r="W20" s="238">
        <f t="shared" si="10"/>
        <v>-25.242659692086619</v>
      </c>
      <c r="X20" s="238"/>
      <c r="Y20" s="297"/>
    </row>
    <row r="21" spans="13:31">
      <c r="M21" s="304">
        <f t="shared" si="11"/>
        <v>47.306836946664035</v>
      </c>
      <c r="N21" s="305">
        <f t="shared" si="5"/>
        <v>47.306836946664035</v>
      </c>
      <c r="O21" s="306">
        <f t="shared" si="12"/>
        <v>0.82566006342338849</v>
      </c>
      <c r="P21" s="233" t="e">
        <f t="shared" si="13"/>
        <v>#N/A</v>
      </c>
      <c r="Q21" s="234" t="e">
        <f t="shared" si="14"/>
        <v>#N/A</v>
      </c>
      <c r="R21" s="234">
        <f t="shared" si="2"/>
        <v>58.926446242404211</v>
      </c>
      <c r="S21" s="235">
        <f t="shared" si="3"/>
        <v>24.571233051536289</v>
      </c>
      <c r="T21" s="236" t="e">
        <f t="shared" si="7"/>
        <v>#N/A</v>
      </c>
      <c r="U21" s="237" t="e">
        <f t="shared" si="8"/>
        <v>#N/A</v>
      </c>
      <c r="V21" s="238">
        <f t="shared" si="9"/>
        <v>-58.926446242404211</v>
      </c>
      <c r="W21" s="238">
        <f t="shared" si="10"/>
        <v>-24.571233051536289</v>
      </c>
      <c r="X21" s="238"/>
      <c r="Y21" s="297"/>
    </row>
    <row r="22" spans="13:31">
      <c r="M22" s="304">
        <f t="shared" si="11"/>
        <v>46.991811608922696</v>
      </c>
      <c r="N22" s="305">
        <f t="shared" si="5"/>
        <v>46.991811608922696</v>
      </c>
      <c r="O22" s="306">
        <f t="shared" si="12"/>
        <v>0.82016183405259502</v>
      </c>
      <c r="P22" s="233" t="e">
        <f t="shared" si="13"/>
        <v>#N/A</v>
      </c>
      <c r="Q22" s="234" t="e">
        <f t="shared" si="14"/>
        <v>#N/A</v>
      </c>
      <c r="R22" s="234">
        <f t="shared" si="2"/>
        <v>59.557825310913046</v>
      </c>
      <c r="S22" s="235">
        <f t="shared" si="3"/>
        <v>23.939853983027454</v>
      </c>
      <c r="T22" s="236" t="e">
        <f t="shared" si="7"/>
        <v>#N/A</v>
      </c>
      <c r="U22" s="237" t="e">
        <f t="shared" si="8"/>
        <v>#N/A</v>
      </c>
      <c r="V22" s="238">
        <f t="shared" si="9"/>
        <v>-59.557825310913046</v>
      </c>
      <c r="W22" s="238">
        <f t="shared" si="10"/>
        <v>-23.939853983027454</v>
      </c>
      <c r="X22" s="238"/>
      <c r="Y22" s="297"/>
    </row>
    <row r="23" spans="13:31">
      <c r="M23" s="304">
        <f t="shared" si="11"/>
        <v>46.676786271181356</v>
      </c>
      <c r="N23" s="305">
        <f t="shared" si="5"/>
        <v>46.676786271181356</v>
      </c>
      <c r="O23" s="306">
        <f t="shared" si="12"/>
        <v>0.81466360468180143</v>
      </c>
      <c r="P23" s="233" t="e">
        <f t="shared" si="13"/>
        <v>#N/A</v>
      </c>
      <c r="Q23" s="234" t="e">
        <f t="shared" si="14"/>
        <v>#N/A</v>
      </c>
      <c r="R23" s="234">
        <f t="shared" si="2"/>
        <v>60.15353078715809</v>
      </c>
      <c r="S23" s="235">
        <f t="shared" si="3"/>
        <v>23.344148506782414</v>
      </c>
      <c r="T23" s="236" t="e">
        <f t="shared" si="7"/>
        <v>#N/A</v>
      </c>
      <c r="U23" s="237" t="e">
        <f t="shared" si="8"/>
        <v>#N/A</v>
      </c>
      <c r="V23" s="238">
        <f>IF(R23&lt;0,ABS(R23),IF(R23&gt;360,-(R23-360),IF(AND(R23&gt;180,R23&lt;360),ABS(360-R23),-R23)))</f>
        <v>-60.15353078715809</v>
      </c>
      <c r="W23" s="238">
        <f t="shared" si="10"/>
        <v>-23.344148506782414</v>
      </c>
      <c r="X23" s="238"/>
      <c r="Y23" s="297"/>
    </row>
    <row r="24" spans="13:31">
      <c r="M24" s="304">
        <f t="shared" si="11"/>
        <v>46.361760933440017</v>
      </c>
      <c r="N24" s="305">
        <f t="shared" si="5"/>
        <v>46.361760933440017</v>
      </c>
      <c r="O24" s="306">
        <f t="shared" si="12"/>
        <v>0.80916537531100796</v>
      </c>
      <c r="P24" s="233" t="e">
        <f t="shared" si="13"/>
        <v>#N/A</v>
      </c>
      <c r="Q24" s="234" t="e">
        <f t="shared" si="14"/>
        <v>#N/A</v>
      </c>
      <c r="R24" s="234">
        <f t="shared" si="2"/>
        <v>60.717161961310374</v>
      </c>
      <c r="S24" s="235">
        <f t="shared" si="3"/>
        <v>22.780517332630129</v>
      </c>
      <c r="T24" s="236" t="e">
        <f t="shared" si="7"/>
        <v>#N/A</v>
      </c>
      <c r="U24" s="237" t="e">
        <f t="shared" si="8"/>
        <v>#N/A</v>
      </c>
      <c r="V24" s="238">
        <f t="shared" si="9"/>
        <v>-60.717161961310374</v>
      </c>
      <c r="W24" s="238">
        <f t="shared" si="10"/>
        <v>-22.780517332630129</v>
      </c>
      <c r="X24" s="238"/>
      <c r="Y24" s="297"/>
    </row>
    <row r="25" spans="13:31">
      <c r="M25" s="304">
        <f t="shared" si="11"/>
        <v>46.046735595698678</v>
      </c>
      <c r="N25" s="305">
        <f t="shared" si="5"/>
        <v>46.046735595698678</v>
      </c>
      <c r="O25" s="306">
        <f t="shared" si="12"/>
        <v>0.80366714594021438</v>
      </c>
      <c r="P25" s="233" t="e">
        <f t="shared" si="13"/>
        <v>#N/A</v>
      </c>
      <c r="Q25" s="234" t="e">
        <f t="shared" si="14"/>
        <v>#N/A</v>
      </c>
      <c r="R25" s="234">
        <f t="shared" si="2"/>
        <v>61.251725178197454</v>
      </c>
      <c r="S25" s="235">
        <f t="shared" si="3"/>
        <v>22.245954115743046</v>
      </c>
      <c r="T25" s="236" t="e">
        <f t="shared" si="7"/>
        <v>#N/A</v>
      </c>
      <c r="U25" s="237" t="e">
        <f t="shared" si="8"/>
        <v>#N/A</v>
      </c>
      <c r="V25" s="238">
        <f t="shared" si="9"/>
        <v>-61.251725178197454</v>
      </c>
      <c r="W25" s="238">
        <f t="shared" si="10"/>
        <v>-22.245954115743046</v>
      </c>
      <c r="X25" s="238"/>
      <c r="Y25" s="297"/>
    </row>
    <row r="26" spans="13:31">
      <c r="M26" s="304">
        <f t="shared" si="11"/>
        <v>45.731710257957339</v>
      </c>
      <c r="N26" s="305">
        <f t="shared" si="5"/>
        <v>45.731710257957339</v>
      </c>
      <c r="O26" s="306">
        <f t="shared" si="12"/>
        <v>0.79816891656942091</v>
      </c>
      <c r="P26" s="233" t="e">
        <f t="shared" si="13"/>
        <v>#N/A</v>
      </c>
      <c r="Q26" s="234" t="e">
        <f t="shared" si="14"/>
        <v>#N/A</v>
      </c>
      <c r="R26" s="234">
        <f t="shared" si="2"/>
        <v>61.759763905184897</v>
      </c>
      <c r="S26" s="235">
        <f t="shared" si="3"/>
        <v>21.737915388755599</v>
      </c>
      <c r="T26" s="236" t="e">
        <f t="shared" si="7"/>
        <v>#N/A</v>
      </c>
      <c r="U26" s="237" t="e">
        <f t="shared" si="8"/>
        <v>#N/A</v>
      </c>
      <c r="V26" s="238">
        <f t="shared" si="9"/>
        <v>-61.759763905184897</v>
      </c>
      <c r="W26" s="238">
        <f t="shared" si="10"/>
        <v>-21.737915388755599</v>
      </c>
      <c r="X26" s="238"/>
      <c r="Y26" s="297"/>
    </row>
    <row r="27" spans="13:31">
      <c r="M27" s="304">
        <f t="shared" si="11"/>
        <v>45.416684920215999</v>
      </c>
      <c r="N27" s="305">
        <f t="shared" si="5"/>
        <v>45.416684920215999</v>
      </c>
      <c r="O27" s="306">
        <f t="shared" si="12"/>
        <v>0.79267068719862732</v>
      </c>
      <c r="P27" s="233" t="e">
        <f t="shared" si="13"/>
        <v>#N/A</v>
      </c>
      <c r="Q27" s="234" t="e">
        <f t="shared" si="14"/>
        <v>#N/A</v>
      </c>
      <c r="R27" s="234">
        <f t="shared" si="2"/>
        <v>62.243454059214002</v>
      </c>
      <c r="S27" s="235">
        <f t="shared" si="3"/>
        <v>21.254225234726484</v>
      </c>
      <c r="T27" s="236" t="e">
        <f t="shared" si="7"/>
        <v>#N/A</v>
      </c>
      <c r="U27" s="237" t="e">
        <f t="shared" si="8"/>
        <v>#N/A</v>
      </c>
      <c r="V27" s="238">
        <f t="shared" si="9"/>
        <v>-62.243454059214002</v>
      </c>
      <c r="W27" s="238">
        <f t="shared" si="10"/>
        <v>-21.254225234726484</v>
      </c>
      <c r="X27" s="238"/>
      <c r="Y27" s="297"/>
    </row>
    <row r="28" spans="13:31">
      <c r="M28" s="304">
        <f t="shared" si="11"/>
        <v>45.10165958247466</v>
      </c>
      <c r="N28" s="305">
        <f t="shared" si="5"/>
        <v>45.10165958247466</v>
      </c>
      <c r="O28" s="306">
        <f t="shared" si="12"/>
        <v>0.78717245782783385</v>
      </c>
      <c r="P28" s="233" t="e">
        <f t="shared" si="13"/>
        <v>#N/A</v>
      </c>
      <c r="Q28" s="234" t="e">
        <f t="shared" si="14"/>
        <v>#N/A</v>
      </c>
      <c r="R28" s="234">
        <f t="shared" si="2"/>
        <v>62.704675328937427</v>
      </c>
      <c r="S28" s="235">
        <f t="shared" si="3"/>
        <v>20.793003965003066</v>
      </c>
      <c r="T28" s="236" t="e">
        <f t="shared" si="7"/>
        <v>#N/A</v>
      </c>
      <c r="U28" s="237" t="e">
        <f t="shared" si="8"/>
        <v>#N/A</v>
      </c>
      <c r="V28" s="238">
        <f t="shared" si="9"/>
        <v>-62.704675328937427</v>
      </c>
      <c r="W28" s="238">
        <f t="shared" si="10"/>
        <v>-20.793003965003066</v>
      </c>
      <c r="X28" s="238"/>
      <c r="Y28" s="297"/>
    </row>
    <row r="29" spans="13:31">
      <c r="M29" s="304">
        <f t="shared" si="11"/>
        <v>44.786634244733321</v>
      </c>
      <c r="N29" s="305">
        <f t="shared" si="5"/>
        <v>44.786634244733321</v>
      </c>
      <c r="O29" s="306">
        <f t="shared" si="12"/>
        <v>0.78167422845704027</v>
      </c>
      <c r="P29" s="233">
        <f t="shared" si="13"/>
        <v>352.10543057366777</v>
      </c>
      <c r="Q29" s="234">
        <f t="shared" si="14"/>
        <v>350.68135891118283</v>
      </c>
      <c r="R29" s="234">
        <f t="shared" si="2"/>
        <v>63.145065509726372</v>
      </c>
      <c r="S29" s="235">
        <f t="shared" si="3"/>
        <v>20.352613784214114</v>
      </c>
      <c r="T29" s="236">
        <f t="shared" si="7"/>
        <v>7.8945694263322252</v>
      </c>
      <c r="U29" s="237">
        <f t="shared" si="8"/>
        <v>9.3186410888171736</v>
      </c>
      <c r="V29" s="238">
        <f t="shared" si="9"/>
        <v>-63.145065509726372</v>
      </c>
      <c r="W29" s="238">
        <f t="shared" si="10"/>
        <v>-20.352613784214114</v>
      </c>
      <c r="X29" s="238"/>
      <c r="Y29" s="297"/>
    </row>
    <row r="30" spans="13:31">
      <c r="M30" s="304">
        <f t="shared" si="11"/>
        <v>44.471608906991982</v>
      </c>
      <c r="N30" s="305">
        <f t="shared" si="5"/>
        <v>44.471608906991982</v>
      </c>
      <c r="O30" s="306">
        <f t="shared" si="12"/>
        <v>0.77617599908624679</v>
      </c>
      <c r="P30" s="233">
        <f t="shared" si="13"/>
        <v>355.94713401353437</v>
      </c>
      <c r="Q30" s="234">
        <f t="shared" si="14"/>
        <v>346.83965547131623</v>
      </c>
      <c r="R30" s="234">
        <f t="shared" si="2"/>
        <v>63.566062563226815</v>
      </c>
      <c r="S30" s="235">
        <f t="shared" si="3"/>
        <v>19.931616730713689</v>
      </c>
      <c r="T30" s="236">
        <f t="shared" si="7"/>
        <v>4.0528659864656333</v>
      </c>
      <c r="U30" s="237">
        <f t="shared" si="8"/>
        <v>13.160344528683765</v>
      </c>
      <c r="V30" s="238">
        <f t="shared" si="9"/>
        <v>-63.566062563226815</v>
      </c>
      <c r="W30" s="238">
        <f t="shared" si="10"/>
        <v>-19.931616730713689</v>
      </c>
      <c r="X30" s="238"/>
      <c r="Y30" s="297"/>
    </row>
    <row r="31" spans="13:31">
      <c r="M31" s="304">
        <f t="shared" si="11"/>
        <v>44.156583569250643</v>
      </c>
      <c r="N31" s="305">
        <f t="shared" si="5"/>
        <v>44.156583569250643</v>
      </c>
      <c r="O31" s="306">
        <f t="shared" si="12"/>
        <v>0.77067776971545321</v>
      </c>
      <c r="P31" s="233">
        <f t="shared" si="13"/>
        <v>357.75653172374626</v>
      </c>
      <c r="Q31" s="234">
        <f t="shared" si="14"/>
        <v>345.03025776110434</v>
      </c>
      <c r="R31" s="234">
        <f t="shared" si="2"/>
        <v>63.968937640224269</v>
      </c>
      <c r="S31" s="235">
        <f t="shared" si="3"/>
        <v>19.528741653716217</v>
      </c>
      <c r="T31" s="236">
        <f t="shared" si="7"/>
        <v>2.2434682762537363</v>
      </c>
      <c r="U31" s="237">
        <f t="shared" si="8"/>
        <v>14.969742238895662</v>
      </c>
      <c r="V31" s="238">
        <f t="shared" si="9"/>
        <v>-63.968937640224269</v>
      </c>
      <c r="W31" s="238">
        <f t="shared" si="10"/>
        <v>-19.528741653716217</v>
      </c>
      <c r="X31" s="238"/>
      <c r="Y31" s="297"/>
    </row>
    <row r="32" spans="13:31">
      <c r="M32" s="304">
        <f t="shared" si="11"/>
        <v>43.841558231509303</v>
      </c>
      <c r="N32" s="305">
        <f t="shared" si="5"/>
        <v>43.841558231509303</v>
      </c>
      <c r="O32" s="306">
        <f t="shared" si="12"/>
        <v>0.76517954034465974</v>
      </c>
      <c r="P32" s="233">
        <f t="shared" si="13"/>
        <v>359.12473352676346</v>
      </c>
      <c r="Q32" s="234">
        <f t="shared" si="14"/>
        <v>343.66205595808708</v>
      </c>
      <c r="R32" s="234">
        <f t="shared" si="2"/>
        <v>64.354821340119074</v>
      </c>
      <c r="S32" s="235">
        <f t="shared" si="3"/>
        <v>19.142857953821416</v>
      </c>
      <c r="T32" s="236">
        <f t="shared" si="7"/>
        <v>0.87526647323653606</v>
      </c>
      <c r="U32" s="237">
        <f t="shared" si="8"/>
        <v>16.33794404191292</v>
      </c>
      <c r="V32" s="238">
        <f t="shared" si="9"/>
        <v>-64.354821340119074</v>
      </c>
      <c r="W32" s="238">
        <f t="shared" si="10"/>
        <v>-19.142857953821416</v>
      </c>
      <c r="X32" s="238"/>
      <c r="Y32" s="297"/>
    </row>
    <row r="33" spans="13:25">
      <c r="M33" s="304">
        <f t="shared" si="11"/>
        <v>43.526532893767964</v>
      </c>
      <c r="N33" s="305">
        <f t="shared" si="5"/>
        <v>43.526532893767964</v>
      </c>
      <c r="O33" s="306">
        <f t="shared" si="12"/>
        <v>0.75968131097386626</v>
      </c>
      <c r="P33" s="233">
        <f t="shared" si="13"/>
        <v>360.25885017838175</v>
      </c>
      <c r="Q33" s="234">
        <f t="shared" si="14"/>
        <v>342.5279393064688</v>
      </c>
      <c r="R33" s="234">
        <f t="shared" si="2"/>
        <v>64.724724832732974</v>
      </c>
      <c r="S33" s="235">
        <f t="shared" si="3"/>
        <v>18.772954461207526</v>
      </c>
      <c r="T33" s="236">
        <f t="shared" si="7"/>
        <v>-0.25885017838174917</v>
      </c>
      <c r="U33" s="237">
        <f t="shared" si="8"/>
        <v>17.472060693531205</v>
      </c>
      <c r="V33" s="238">
        <f t="shared" si="9"/>
        <v>-64.724724832732974</v>
      </c>
      <c r="W33" s="238">
        <f t="shared" si="10"/>
        <v>-18.772954461207526</v>
      </c>
      <c r="X33" s="238"/>
      <c r="Y33" s="297"/>
    </row>
    <row r="34" spans="13:25">
      <c r="M34" s="304">
        <f t="shared" si="11"/>
        <v>43.211507556026625</v>
      </c>
      <c r="N34" s="305">
        <f t="shared" si="5"/>
        <v>43.211507556026625</v>
      </c>
      <c r="O34" s="306">
        <f t="shared" si="12"/>
        <v>0.75418308160307268</v>
      </c>
      <c r="P34" s="233">
        <f t="shared" si="13"/>
        <v>361.24047161475431</v>
      </c>
      <c r="Q34" s="234">
        <f t="shared" si="14"/>
        <v>341.54631787009623</v>
      </c>
      <c r="R34" s="234">
        <f t="shared" si="2"/>
        <v>65.079557024743778</v>
      </c>
      <c r="S34" s="235">
        <f t="shared" si="3"/>
        <v>18.418122269196711</v>
      </c>
      <c r="T34" s="236">
        <f t="shared" si="7"/>
        <v>-1.2404716147543127</v>
      </c>
      <c r="U34" s="237">
        <f t="shared" si="8"/>
        <v>18.453682129903768</v>
      </c>
      <c r="V34" s="238">
        <f t="shared" si="9"/>
        <v>-65.079557024743778</v>
      </c>
      <c r="W34" s="238">
        <f t="shared" si="10"/>
        <v>-18.418122269196711</v>
      </c>
      <c r="X34" s="238"/>
      <c r="Y34" s="297"/>
    </row>
    <row r="35" spans="13:25">
      <c r="M35" s="304">
        <f t="shared" si="11"/>
        <v>42.896482218285286</v>
      </c>
      <c r="N35" s="305">
        <f t="shared" si="5"/>
        <v>42.896482218285286</v>
      </c>
      <c r="O35" s="306">
        <f t="shared" si="12"/>
        <v>0.74868485223227921</v>
      </c>
      <c r="P35" s="233">
        <f t="shared" si="13"/>
        <v>362.1119111253725</v>
      </c>
      <c r="Q35" s="234">
        <f t="shared" si="14"/>
        <v>340.6748783594781</v>
      </c>
      <c r="R35" s="234">
        <f t="shared" si="2"/>
        <v>65.420138643726901</v>
      </c>
      <c r="S35" s="235">
        <f t="shared" si="3"/>
        <v>18.077540650213585</v>
      </c>
      <c r="T35" s="236">
        <f t="shared" si="7"/>
        <v>-2.1119111253725009</v>
      </c>
      <c r="U35" s="237">
        <f t="shared" si="8"/>
        <v>19.3251216405219</v>
      </c>
      <c r="V35" s="238">
        <f t="shared" si="9"/>
        <v>-65.420138643726901</v>
      </c>
      <c r="W35" s="238">
        <f t="shared" si="10"/>
        <v>-18.077540650213585</v>
      </c>
      <c r="X35" s="238"/>
      <c r="Y35" s="297"/>
    </row>
    <row r="36" spans="13:25">
      <c r="M36" s="304">
        <f t="shared" si="11"/>
        <v>42.581456880543946</v>
      </c>
      <c r="N36" s="305">
        <f t="shared" si="5"/>
        <v>42.581456880543946</v>
      </c>
      <c r="O36" s="306">
        <f t="shared" si="12"/>
        <v>0.74318662286148562</v>
      </c>
      <c r="P36" s="233">
        <f t="shared" si="13"/>
        <v>362.89853530820659</v>
      </c>
      <c r="Q36" s="234">
        <f t="shared" si="14"/>
        <v>339.88825417664395</v>
      </c>
      <c r="R36" s="234">
        <f t="shared" si="2"/>
        <v>65.747213893339975</v>
      </c>
      <c r="S36" s="235">
        <f t="shared" si="3"/>
        <v>17.750465400600522</v>
      </c>
      <c r="T36" s="236">
        <f t="shared" si="7"/>
        <v>-2.8985353082065899</v>
      </c>
      <c r="U36" s="237">
        <f t="shared" si="8"/>
        <v>20.111745823356046</v>
      </c>
      <c r="V36" s="238">
        <f t="shared" si="9"/>
        <v>-65.747213893339975</v>
      </c>
      <c r="W36" s="238">
        <f t="shared" si="10"/>
        <v>-17.750465400600522</v>
      </c>
      <c r="X36" s="238"/>
      <c r="Y36" s="297"/>
    </row>
    <row r="37" spans="13:25">
      <c r="M37" s="304">
        <f t="shared" si="11"/>
        <v>42.266431542802607</v>
      </c>
      <c r="N37" s="305">
        <f t="shared" si="5"/>
        <v>42.266431542802607</v>
      </c>
      <c r="O37" s="306">
        <f t="shared" si="12"/>
        <v>0.73768839349069215</v>
      </c>
      <c r="P37" s="233">
        <f t="shared" si="13"/>
        <v>363.61700697849466</v>
      </c>
      <c r="Q37" s="234">
        <f t="shared" si="14"/>
        <v>339.16978250635594</v>
      </c>
      <c r="R37" s="234">
        <f t="shared" si="2"/>
        <v>66.061460175110895</v>
      </c>
      <c r="S37" s="235">
        <f t="shared" si="3"/>
        <v>17.436219118829609</v>
      </c>
      <c r="T37" s="236">
        <f t="shared" si="7"/>
        <v>-3.6170069784946577</v>
      </c>
      <c r="U37" s="237">
        <f t="shared" si="8"/>
        <v>20.830217493644057</v>
      </c>
      <c r="V37" s="238">
        <f t="shared" si="9"/>
        <v>-66.061460175110895</v>
      </c>
      <c r="W37" s="238">
        <f t="shared" si="10"/>
        <v>-17.436219118829609</v>
      </c>
      <c r="X37" s="238"/>
      <c r="Y37" s="297"/>
    </row>
    <row r="38" spans="13:25">
      <c r="M38" s="304">
        <f t="shared" si="11"/>
        <v>41.951406205061268</v>
      </c>
      <c r="N38" s="305">
        <f t="shared" si="5"/>
        <v>41.951406205061268</v>
      </c>
      <c r="O38" s="306">
        <f t="shared" si="12"/>
        <v>0.73219016411989857</v>
      </c>
      <c r="P38" s="233">
        <f t="shared" si="13"/>
        <v>364.27898790051739</v>
      </c>
      <c r="Q38" s="234">
        <f t="shared" si="14"/>
        <v>338.50780158433315</v>
      </c>
      <c r="R38" s="234">
        <f t="shared" si="2"/>
        <v>66.363496256809057</v>
      </c>
      <c r="S38" s="235">
        <f t="shared" si="3"/>
        <v>17.134183037131432</v>
      </c>
      <c r="T38" s="236">
        <f t="shared" si="7"/>
        <v>-4.278987900517393</v>
      </c>
      <c r="U38" s="237">
        <f t="shared" si="8"/>
        <v>21.492198415666849</v>
      </c>
      <c r="V38" s="238">
        <f t="shared" si="9"/>
        <v>-66.363496256809057</v>
      </c>
      <c r="W38" s="238">
        <f t="shared" si="10"/>
        <v>-17.134183037131432</v>
      </c>
      <c r="X38" s="238"/>
      <c r="Y38" s="297"/>
    </row>
    <row r="39" spans="13:25">
      <c r="M39" s="304">
        <f t="shared" ref="M39:M96" si="15">IF(N39&gt;maxn,maxn,IF(N39&lt;mins,mins,N39))</f>
        <v>41.636380867319929</v>
      </c>
      <c r="N39" s="305">
        <f t="shared" si="5"/>
        <v>41.636380867319929</v>
      </c>
      <c r="O39" s="306">
        <f t="shared" ref="O39:O96" si="16">RADIANS(M39)</f>
        <v>0.7266919347491051</v>
      </c>
      <c r="P39" s="233">
        <f t="shared" ref="P39:P96" si="17">IFERROR(DEGREES(grt+ACOS((SIN(h)-SIN(d)*SIN(O39))/COS(d)/COS(O39))),#N/A)</f>
        <v>364.89302988773392</v>
      </c>
      <c r="Q39" s="234">
        <f t="shared" ref="Q39:Q96" si="18">IFERROR(DEGREES(grt-ACOS((SIN(h)-SIN(d)*SIN(O39))/COS(d)/COS(O39))),#N/A)</f>
        <v>337.89375959711663</v>
      </c>
      <c r="R39" s="234">
        <f t="shared" si="2"/>
        <v>66.653889181925749</v>
      </c>
      <c r="S39" s="235">
        <f t="shared" si="3"/>
        <v>16.843790112014748</v>
      </c>
      <c r="T39" s="236">
        <f t="shared" ref="T39:T96" si="19">IF(P39&lt;0,ABS(P39),IF(P39&gt;360,-(P39-360),IF(AND(P39&gt;180,P39&lt;360),ABS(360-P39),-P39)))</f>
        <v>-4.8930298877339169</v>
      </c>
      <c r="U39" s="237">
        <f t="shared" ref="U39:U96" si="20">IF(Q39&lt;0,ABS(Q39),IF(Q39&gt;360,Q39-(Q39-360),IF(AND(Q39&gt;180,Q39&lt;360),ABS(360-Q39),-Q39)))</f>
        <v>22.106240402883373</v>
      </c>
      <c r="V39" s="238">
        <f t="shared" ref="V39:V96" si="21">IF(R39&lt;0,ABS(R39),IF(R39&gt;360,-(R39-360),IF(AND(R39&gt;180,R39&lt;360),ABS(360-R39),-R39)))</f>
        <v>-66.653889181925749</v>
      </c>
      <c r="W39" s="238">
        <f t="shared" ref="W39:W96" si="22">IF(S39&lt;0,ABS(S39),IF(S39&gt;360,-(S39-360),IF(AND(S39&gt;180,S39&lt;360),ABS(360-S39),-S39)))</f>
        <v>-16.843790112014748</v>
      </c>
      <c r="X39" s="238"/>
      <c r="Y39" s="297"/>
    </row>
    <row r="40" spans="13:25">
      <c r="M40" s="304">
        <f t="shared" si="15"/>
        <v>41.321355529578589</v>
      </c>
      <c r="N40" s="305">
        <f t="shared" si="5"/>
        <v>41.321355529578589</v>
      </c>
      <c r="O40" s="306">
        <f t="shared" si="16"/>
        <v>0.72119370537831151</v>
      </c>
      <c r="P40" s="233">
        <f t="shared" si="17"/>
        <v>365.46563325624635</v>
      </c>
      <c r="Q40" s="234">
        <f t="shared" si="18"/>
        <v>337.32115622860425</v>
      </c>
      <c r="R40" s="234">
        <f t="shared" ref="R40:R71" si="23">IFERROR(DEGREES(grt_+ACOS((SIN(h_)-SIN(d_)*SIN(O40))/COS(d_)/COS(O40))),#N/A)</f>
        <v>66.933160150803133</v>
      </c>
      <c r="S40" s="235">
        <f t="shared" ref="S40:S71" si="24">IFERROR(DEGREES(grt_-ACOS((SIN(h_)-SIN(d_)*SIN(O40))/COS(d_)/COS(O40))),#N/A)</f>
        <v>16.564519143137364</v>
      </c>
      <c r="T40" s="236">
        <f t="shared" si="19"/>
        <v>-5.465633256246349</v>
      </c>
      <c r="U40" s="237">
        <f t="shared" si="20"/>
        <v>22.678843771395748</v>
      </c>
      <c r="V40" s="238">
        <f t="shared" si="21"/>
        <v>-66.933160150803133</v>
      </c>
      <c r="W40" s="238">
        <f t="shared" si="22"/>
        <v>-16.564519143137364</v>
      </c>
      <c r="X40" s="238"/>
      <c r="Y40" s="297"/>
    </row>
    <row r="41" spans="13:25" hidden="1">
      <c r="M41" s="304">
        <f t="shared" si="15"/>
        <v>41.00633019183725</v>
      </c>
      <c r="N41" s="305">
        <f t="shared" si="5"/>
        <v>41.00633019183725</v>
      </c>
      <c r="O41" s="306">
        <f t="shared" si="16"/>
        <v>0.71569547600751804</v>
      </c>
      <c r="P41" s="233">
        <f t="shared" si="17"/>
        <v>366.00188156203455</v>
      </c>
      <c r="Q41" s="234">
        <f t="shared" si="18"/>
        <v>336.78490792281599</v>
      </c>
      <c r="R41" s="234">
        <f t="shared" si="23"/>
        <v>67.201789555512335</v>
      </c>
      <c r="S41" s="235">
        <f t="shared" si="24"/>
        <v>16.295889738428148</v>
      </c>
      <c r="T41" s="236">
        <f t="shared" si="19"/>
        <v>-6.0018815620345549</v>
      </c>
      <c r="U41" s="237">
        <f t="shared" si="20"/>
        <v>23.215092077184011</v>
      </c>
      <c r="V41" s="238">
        <f t="shared" si="21"/>
        <v>-67.201789555512335</v>
      </c>
      <c r="W41" s="238">
        <f t="shared" si="22"/>
        <v>-16.295889738428148</v>
      </c>
      <c r="X41" s="238"/>
      <c r="Y41" s="297"/>
    </row>
    <row r="42" spans="13:25" hidden="1">
      <c r="M42" s="304">
        <f t="shared" si="15"/>
        <v>40.691304854095911</v>
      </c>
      <c r="N42" s="305">
        <f t="shared" si="5"/>
        <v>40.691304854095911</v>
      </c>
      <c r="O42" s="306">
        <f t="shared" si="16"/>
        <v>0.71019724663672446</v>
      </c>
      <c r="P42" s="233">
        <f t="shared" si="17"/>
        <v>366.50584337548713</v>
      </c>
      <c r="Q42" s="234">
        <f t="shared" si="18"/>
        <v>336.28094610936341</v>
      </c>
      <c r="R42" s="234">
        <f t="shared" si="23"/>
        <v>67.460221313537488</v>
      </c>
      <c r="S42" s="235">
        <f t="shared" si="24"/>
        <v>16.037457980403001</v>
      </c>
      <c r="T42" s="236">
        <f t="shared" si="19"/>
        <v>-6.5058433754871317</v>
      </c>
      <c r="U42" s="237">
        <f t="shared" si="20"/>
        <v>23.719053890636587</v>
      </c>
      <c r="V42" s="238">
        <f t="shared" si="21"/>
        <v>-67.460221313537488</v>
      </c>
      <c r="W42" s="238">
        <f t="shared" si="22"/>
        <v>-16.037457980403001</v>
      </c>
      <c r="X42" s="238"/>
      <c r="Y42" s="297"/>
    </row>
    <row r="43" spans="13:25" hidden="1">
      <c r="M43" s="304">
        <f t="shared" si="15"/>
        <v>40.376279516354572</v>
      </c>
      <c r="N43" s="305">
        <f t="shared" si="5"/>
        <v>40.376279516354572</v>
      </c>
      <c r="O43" s="306">
        <f t="shared" si="16"/>
        <v>0.70469901726593098</v>
      </c>
      <c r="P43" s="233">
        <f t="shared" si="17"/>
        <v>366.98083791502273</v>
      </c>
      <c r="Q43" s="234">
        <f t="shared" si="18"/>
        <v>335.80595156982787</v>
      </c>
      <c r="R43" s="234">
        <f t="shared" si="23"/>
        <v>67.708866616723583</v>
      </c>
      <c r="S43" s="235">
        <f t="shared" si="24"/>
        <v>15.788812677216923</v>
      </c>
      <c r="T43" s="236">
        <f t="shared" si="19"/>
        <v>-6.9808379150227324</v>
      </c>
      <c r="U43" s="237">
        <f t="shared" si="20"/>
        <v>24.194048430172131</v>
      </c>
      <c r="V43" s="238">
        <f t="shared" si="21"/>
        <v>-67.708866616723583</v>
      </c>
      <c r="W43" s="238">
        <f t="shared" si="22"/>
        <v>-15.788812677216923</v>
      </c>
      <c r="X43" s="238"/>
      <c r="Y43" s="297"/>
    </row>
    <row r="44" spans="13:25" hidden="1">
      <c r="M44" s="304">
        <f t="shared" si="15"/>
        <v>40.061254178613233</v>
      </c>
      <c r="N44" s="305">
        <f t="shared" si="5"/>
        <v>40.061254178613233</v>
      </c>
      <c r="O44" s="306">
        <f t="shared" si="16"/>
        <v>0.6992007878951374</v>
      </c>
      <c r="P44" s="233">
        <f t="shared" si="17"/>
        <v>367.42961708855239</v>
      </c>
      <c r="Q44" s="234">
        <f t="shared" si="18"/>
        <v>335.35717239629821</v>
      </c>
      <c r="R44" s="234">
        <f t="shared" si="23"/>
        <v>67.948107189677174</v>
      </c>
      <c r="S44" s="235">
        <f t="shared" si="24"/>
        <v>15.549572104263321</v>
      </c>
      <c r="T44" s="236">
        <f t="shared" si="19"/>
        <v>-7.4296170885523907</v>
      </c>
      <c r="U44" s="237">
        <f t="shared" si="20"/>
        <v>24.642827603701789</v>
      </c>
      <c r="V44" s="238">
        <f t="shared" si="21"/>
        <v>-67.948107189677174</v>
      </c>
      <c r="W44" s="238">
        <f t="shared" si="22"/>
        <v>-15.549572104263321</v>
      </c>
      <c r="X44" s="238"/>
      <c r="Y44" s="297"/>
    </row>
    <row r="45" spans="13:25" hidden="1">
      <c r="M45" s="304">
        <f t="shared" si="15"/>
        <v>39.746228840871893</v>
      </c>
      <c r="N45" s="305">
        <f t="shared" si="5"/>
        <v>39.746228840871893</v>
      </c>
      <c r="O45" s="306">
        <f t="shared" si="16"/>
        <v>0.69370255852434393</v>
      </c>
      <c r="P45" s="233">
        <f t="shared" si="17"/>
        <v>367.85449406248154</v>
      </c>
      <c r="Q45" s="234">
        <f t="shared" si="18"/>
        <v>334.93229542236901</v>
      </c>
      <c r="R45" s="234">
        <f t="shared" si="23"/>
        <v>68.178298134318325</v>
      </c>
      <c r="S45" s="235">
        <f t="shared" si="24"/>
        <v>15.319381159622157</v>
      </c>
      <c r="T45" s="236">
        <f t="shared" si="19"/>
        <v>-7.8544940624815354</v>
      </c>
      <c r="U45" s="237">
        <f t="shared" si="20"/>
        <v>25.067704577630991</v>
      </c>
      <c r="V45" s="238">
        <f t="shared" si="21"/>
        <v>-68.178298134318325</v>
      </c>
      <c r="W45" s="238">
        <f t="shared" si="22"/>
        <v>-15.319381159622157</v>
      </c>
      <c r="X45" s="238"/>
      <c r="Y45" s="297"/>
    </row>
    <row r="46" spans="13:25" hidden="1">
      <c r="M46" s="304">
        <f t="shared" si="15"/>
        <v>39.431203503130554</v>
      </c>
      <c r="N46" s="305">
        <f t="shared" si="5"/>
        <v>39.431203503130554</v>
      </c>
      <c r="O46" s="306">
        <f t="shared" si="16"/>
        <v>0.68820432915355034</v>
      </c>
      <c r="P46" s="233">
        <f t="shared" si="17"/>
        <v>368.25743642396674</v>
      </c>
      <c r="Q46" s="234">
        <f t="shared" si="18"/>
        <v>334.52935306088381</v>
      </c>
      <c r="R46" s="234">
        <f t="shared" si="23"/>
        <v>68.39977042344529</v>
      </c>
      <c r="S46" s="235">
        <f t="shared" si="24"/>
        <v>15.097908870495202</v>
      </c>
      <c r="T46" s="236">
        <f t="shared" si="19"/>
        <v>-8.2574364239667375</v>
      </c>
      <c r="U46" s="237">
        <f t="shared" si="20"/>
        <v>25.470646939116193</v>
      </c>
      <c r="V46" s="238">
        <f t="shared" si="21"/>
        <v>-68.39977042344529</v>
      </c>
      <c r="W46" s="238">
        <f t="shared" si="22"/>
        <v>-15.097908870495202</v>
      </c>
      <c r="X46" s="238"/>
      <c r="Y46" s="297"/>
    </row>
    <row r="47" spans="13:25" hidden="1">
      <c r="M47" s="304">
        <f t="shared" si="15"/>
        <v>39.116178165389215</v>
      </c>
      <c r="N47" s="305">
        <f t="shared" si="5"/>
        <v>39.116178165389215</v>
      </c>
      <c r="O47" s="306">
        <f t="shared" si="16"/>
        <v>0.68270609978275687</v>
      </c>
      <c r="P47" s="233">
        <f t="shared" si="17"/>
        <v>368.64013519645624</v>
      </c>
      <c r="Q47" s="234">
        <f t="shared" si="18"/>
        <v>334.14665428839436</v>
      </c>
      <c r="R47" s="234">
        <f t="shared" si="23"/>
        <v>68.612833095144424</v>
      </c>
      <c r="S47" s="235">
        <f t="shared" si="24"/>
        <v>14.884846198796065</v>
      </c>
      <c r="T47" s="236">
        <f t="shared" si="19"/>
        <v>-8.6401351964562423</v>
      </c>
      <c r="U47" s="237">
        <f>IF(Q47&lt;0,ABS(Q47),IF(Q47&gt;360,Q47-(Q47-360),IF(AND(Q47&gt;180,Q47&lt;360),ABS(360-Q47),-Q47)))</f>
        <v>25.853345711605641</v>
      </c>
      <c r="V47" s="238">
        <f t="shared" si="21"/>
        <v>-68.612833095144424</v>
      </c>
      <c r="W47" s="238">
        <f t="shared" si="22"/>
        <v>-14.884846198796065</v>
      </c>
      <c r="X47" s="238"/>
      <c r="Y47" s="297"/>
    </row>
    <row r="48" spans="13:25" hidden="1">
      <c r="M48" s="304">
        <f t="shared" si="15"/>
        <v>38.801152827647876</v>
      </c>
      <c r="N48" s="305">
        <f t="shared" si="5"/>
        <v>38.801152827647876</v>
      </c>
      <c r="O48" s="306">
        <f t="shared" si="16"/>
        <v>0.67720787041196329</v>
      </c>
      <c r="P48" s="233">
        <f t="shared" si="17"/>
        <v>369.00405696176557</v>
      </c>
      <c r="Q48" s="234">
        <f t="shared" si="18"/>
        <v>333.78273252308503</v>
      </c>
      <c r="R48" s="234">
        <f t="shared" si="23"/>
        <v>68.817775191026655</v>
      </c>
      <c r="S48" s="235">
        <f t="shared" si="24"/>
        <v>14.679904102913829</v>
      </c>
      <c r="T48" s="236">
        <f t="shared" si="19"/>
        <v>-9.0040569617655706</v>
      </c>
      <c r="U48" s="237">
        <f t="shared" si="20"/>
        <v>26.217267476914969</v>
      </c>
      <c r="V48" s="238">
        <f t="shared" si="21"/>
        <v>-68.817775191026655</v>
      </c>
      <c r="W48" s="238">
        <f t="shared" si="22"/>
        <v>-14.679904102913829</v>
      </c>
      <c r="X48" s="238"/>
      <c r="Y48" s="297"/>
    </row>
    <row r="49" spans="13:25" hidden="1">
      <c r="M49" s="304">
        <f t="shared" si="15"/>
        <v>38.486127489906536</v>
      </c>
      <c r="N49" s="305">
        <f t="shared" si="5"/>
        <v>38.486127489906536</v>
      </c>
      <c r="O49" s="306">
        <f t="shared" si="16"/>
        <v>0.67170964104116981</v>
      </c>
      <c r="P49" s="233">
        <f t="shared" si="17"/>
        <v>369.35048389644408</v>
      </c>
      <c r="Q49" s="234">
        <f t="shared" si="18"/>
        <v>333.43630558840653</v>
      </c>
      <c r="R49" s="234">
        <f t="shared" si="23"/>
        <v>69.014867474125538</v>
      </c>
      <c r="S49" s="235">
        <f t="shared" si="24"/>
        <v>14.48281181981497</v>
      </c>
      <c r="T49" s="236">
        <f t="shared" si="19"/>
        <v>-9.3504838964440751</v>
      </c>
      <c r="U49" s="237">
        <f t="shared" si="20"/>
        <v>26.563694411593474</v>
      </c>
      <c r="V49" s="238">
        <f t="shared" si="21"/>
        <v>-69.014867474125538</v>
      </c>
      <c r="W49" s="238">
        <f t="shared" si="22"/>
        <v>-14.48281181981497</v>
      </c>
      <c r="X49" s="238"/>
      <c r="Y49" s="297"/>
    </row>
    <row r="50" spans="13:25" hidden="1">
      <c r="M50" s="304">
        <f t="shared" si="15"/>
        <v>38.171102152165197</v>
      </c>
      <c r="N50" s="305">
        <f t="shared" si="5"/>
        <v>38.171102152165197</v>
      </c>
      <c r="O50" s="306">
        <f t="shared" si="16"/>
        <v>0.66621141167037623</v>
      </c>
      <c r="P50" s="233">
        <f t="shared" si="17"/>
        <v>369.6805449900798</v>
      </c>
      <c r="Q50" s="234">
        <f t="shared" si="18"/>
        <v>333.10624449477075</v>
      </c>
      <c r="R50" s="234">
        <f t="shared" si="23"/>
        <v>69.204363956483803</v>
      </c>
      <c r="S50" s="235">
        <f t="shared" si="24"/>
        <v>14.293315337456685</v>
      </c>
      <c r="T50" s="236">
        <f t="shared" si="19"/>
        <v>-9.6805449900797953</v>
      </c>
      <c r="U50" s="237">
        <f t="shared" si="20"/>
        <v>26.893755505229251</v>
      </c>
      <c r="V50" s="238">
        <f t="shared" si="21"/>
        <v>-69.204363956483803</v>
      </c>
      <c r="W50" s="238">
        <f t="shared" si="22"/>
        <v>-14.293315337456685</v>
      </c>
      <c r="X50" s="238"/>
      <c r="Y50" s="297"/>
    </row>
    <row r="51" spans="13:25" hidden="1">
      <c r="M51" s="304">
        <f t="shared" si="15"/>
        <v>37.856076814423858</v>
      </c>
      <c r="N51" s="305">
        <f t="shared" si="5"/>
        <v>37.856076814423858</v>
      </c>
      <c r="O51" s="306">
        <f t="shared" si="16"/>
        <v>0.66071318229958276</v>
      </c>
      <c r="P51" s="233">
        <f t="shared" si="17"/>
        <v>369.99524071618316</v>
      </c>
      <c r="Q51" s="234">
        <f t="shared" si="18"/>
        <v>332.79154876866744</v>
      </c>
      <c r="R51" s="234">
        <f t="shared" si="23"/>
        <v>69.386503261711283</v>
      </c>
      <c r="S51" s="235">
        <f t="shared" si="24"/>
        <v>14.111176032229222</v>
      </c>
      <c r="T51" s="236">
        <f t="shared" si="19"/>
        <v>-9.9952407161831616</v>
      </c>
      <c r="U51" s="237">
        <f t="shared" si="20"/>
        <v>27.20845123133256</v>
      </c>
      <c r="V51" s="238">
        <f t="shared" si="21"/>
        <v>-69.386503261711283</v>
      </c>
      <c r="W51" s="238">
        <f t="shared" si="22"/>
        <v>-14.111176032229222</v>
      </c>
      <c r="X51" s="238"/>
      <c r="Y51" s="297"/>
    </row>
    <row r="52" spans="13:25" hidden="1">
      <c r="M52" s="304">
        <f t="shared" si="15"/>
        <v>37.541051476682519</v>
      </c>
      <c r="N52" s="305">
        <f t="shared" si="5"/>
        <v>37.541051476682519</v>
      </c>
      <c r="O52" s="306">
        <f t="shared" si="16"/>
        <v>0.65521495292878917</v>
      </c>
      <c r="P52" s="233">
        <f t="shared" si="17"/>
        <v>370.29546276491891</v>
      </c>
      <c r="Q52" s="234">
        <f t="shared" si="18"/>
        <v>332.49132671993164</v>
      </c>
      <c r="R52" s="234">
        <f t="shared" si="23"/>
        <v>69.561509843897113</v>
      </c>
      <c r="S52" s="235">
        <f t="shared" si="24"/>
        <v>13.936169450043369</v>
      </c>
      <c r="T52" s="236">
        <f t="shared" si="19"/>
        <v>-10.295462764918909</v>
      </c>
      <c r="U52" s="237">
        <f t="shared" si="20"/>
        <v>27.508673280068365</v>
      </c>
      <c r="V52" s="238">
        <f t="shared" si="21"/>
        <v>-69.561509843897113</v>
      </c>
      <c r="W52" s="238">
        <f t="shared" si="22"/>
        <v>-13.936169450043369</v>
      </c>
      <c r="X52" s="238"/>
      <c r="Y52" s="297"/>
    </row>
    <row r="53" spans="13:25" hidden="1">
      <c r="M53" s="304">
        <f t="shared" si="15"/>
        <v>37.22602613894118</v>
      </c>
      <c r="N53" s="305">
        <f t="shared" si="5"/>
        <v>37.22602613894118</v>
      </c>
      <c r="O53" s="306">
        <f t="shared" si="16"/>
        <v>0.6497167235579957</v>
      </c>
      <c r="P53" s="233">
        <f t="shared" si="17"/>
        <v>370.58200999857672</v>
      </c>
      <c r="Q53" s="234">
        <f t="shared" si="18"/>
        <v>332.20477948627388</v>
      </c>
      <c r="R53" s="234">
        <f t="shared" si="23"/>
        <v>69.729595081042078</v>
      </c>
      <c r="S53" s="235">
        <f t="shared" si="24"/>
        <v>13.768084212898426</v>
      </c>
      <c r="T53" s="236">
        <f t="shared" si="19"/>
        <v>-10.582009998576723</v>
      </c>
      <c r="U53" s="237">
        <f t="shared" si="20"/>
        <v>27.795220513726122</v>
      </c>
      <c r="V53" s="238">
        <f t="shared" si="21"/>
        <v>-69.729595081042078</v>
      </c>
      <c r="W53" s="238">
        <f t="shared" si="22"/>
        <v>-13.768084212898426</v>
      </c>
      <c r="X53" s="238"/>
      <c r="Y53" s="297"/>
    </row>
    <row r="54" spans="13:25" hidden="1">
      <c r="M54" s="304">
        <f t="shared" si="15"/>
        <v>36.91100080119984</v>
      </c>
      <c r="N54" s="305">
        <f t="shared" si="5"/>
        <v>36.91100080119984</v>
      </c>
      <c r="O54" s="306">
        <f t="shared" si="16"/>
        <v>0.64421849418720212</v>
      </c>
      <c r="P54" s="233">
        <f t="shared" si="17"/>
        <v>370.85560148067884</v>
      </c>
      <c r="Q54" s="234">
        <f t="shared" si="18"/>
        <v>331.93118800417176</v>
      </c>
      <c r="R54" s="234">
        <f t="shared" si="23"/>
        <v>69.890958258503048</v>
      </c>
      <c r="S54" s="235">
        <f t="shared" si="24"/>
        <v>13.606721035437445</v>
      </c>
      <c r="T54" s="236">
        <f t="shared" si="19"/>
        <v>-10.855601480678843</v>
      </c>
      <c r="U54" s="237">
        <f t="shared" si="20"/>
        <v>28.068811995828241</v>
      </c>
      <c r="V54" s="238">
        <f t="shared" si="21"/>
        <v>-69.890958258503048</v>
      </c>
      <c r="W54" s="238">
        <f t="shared" si="22"/>
        <v>-13.606721035437445</v>
      </c>
      <c r="X54" s="238"/>
      <c r="Y54" s="297"/>
    </row>
    <row r="55" spans="13:25" hidden="1">
      <c r="M55" s="304">
        <f t="shared" si="15"/>
        <v>36.595975463458501</v>
      </c>
      <c r="N55" s="305">
        <f t="shared" si="5"/>
        <v>36.595975463458501</v>
      </c>
      <c r="O55" s="306">
        <f t="shared" si="16"/>
        <v>0.63872026481640864</v>
      </c>
      <c r="P55" s="233">
        <f t="shared" si="17"/>
        <v>371.11688721149642</v>
      </c>
      <c r="Q55" s="234">
        <f t="shared" si="18"/>
        <v>331.66990227335418</v>
      </c>
      <c r="R55" s="234">
        <f t="shared" si="23"/>
        <v>70.045787455717388</v>
      </c>
      <c r="S55" s="235">
        <f t="shared" si="24"/>
        <v>13.451891838223107</v>
      </c>
      <c r="T55" s="236">
        <f t="shared" si="19"/>
        <v>-11.116887211496419</v>
      </c>
      <c r="U55" s="237">
        <f t="shared" si="20"/>
        <v>28.330097726645818</v>
      </c>
      <c r="V55" s="238">
        <f t="shared" si="21"/>
        <v>-70.045787455717388</v>
      </c>
      <c r="W55" s="238">
        <f t="shared" si="22"/>
        <v>-13.451891838223107</v>
      </c>
      <c r="X55" s="238"/>
      <c r="Y55" s="297"/>
    </row>
    <row r="56" spans="13:25" hidden="1">
      <c r="M56" s="304">
        <f t="shared" si="15"/>
        <v>36.280950125717162</v>
      </c>
      <c r="N56" s="305">
        <f t="shared" si="5"/>
        <v>36.280950125717162</v>
      </c>
      <c r="O56" s="306">
        <f t="shared" si="16"/>
        <v>0.63322203544561506</v>
      </c>
      <c r="P56" s="233">
        <f t="shared" si="17"/>
        <v>371.36645704676693</v>
      </c>
      <c r="Q56" s="234">
        <f t="shared" si="18"/>
        <v>331.42033243808362</v>
      </c>
      <c r="R56" s="234">
        <f t="shared" si="23"/>
        <v>70.194260347607567</v>
      </c>
      <c r="S56" s="235">
        <f t="shared" si="24"/>
        <v>13.303418946332936</v>
      </c>
      <c r="T56" s="236">
        <f t="shared" si="19"/>
        <v>-11.366457046766925</v>
      </c>
      <c r="U56" s="237">
        <f t="shared" si="20"/>
        <v>28.579667561916381</v>
      </c>
      <c r="V56" s="238">
        <f t="shared" si="21"/>
        <v>-70.194260347607567</v>
      </c>
      <c r="W56" s="238">
        <f t="shared" si="22"/>
        <v>-13.303418946332936</v>
      </c>
      <c r="X56" s="238"/>
      <c r="Y56" s="297"/>
    </row>
    <row r="57" spans="13:25" hidden="1">
      <c r="M57" s="304">
        <f t="shared" si="15"/>
        <v>35.965924787975823</v>
      </c>
      <c r="N57" s="305">
        <f t="shared" si="5"/>
        <v>35.965924787975823</v>
      </c>
      <c r="O57" s="306">
        <f t="shared" si="16"/>
        <v>0.62772380607482159</v>
      </c>
      <c r="P57" s="233">
        <f t="shared" si="17"/>
        <v>371.60484816323196</v>
      </c>
      <c r="Q57" s="234">
        <f t="shared" si="18"/>
        <v>331.18194132161864</v>
      </c>
      <c r="R57" s="234">
        <f t="shared" si="23"/>
        <v>70.336544930500921</v>
      </c>
      <c r="S57" s="235">
        <f t="shared" si="24"/>
        <v>13.161134363439574</v>
      </c>
      <c r="T57" s="236">
        <f t="shared" si="19"/>
        <v>-11.604848163231964</v>
      </c>
      <c r="U57" s="237">
        <f t="shared" si="20"/>
        <v>28.818058678381362</v>
      </c>
      <c r="V57" s="238">
        <f t="shared" si="21"/>
        <v>-70.336544930500921</v>
      </c>
      <c r="W57" s="238">
        <f t="shared" si="22"/>
        <v>-13.161134363439574</v>
      </c>
      <c r="X57" s="238"/>
      <c r="Y57" s="297"/>
    </row>
    <row r="58" spans="13:25" hidden="1">
      <c r="M58" s="304">
        <f t="shared" si="15"/>
        <v>35.650899450234483</v>
      </c>
      <c r="N58" s="305">
        <f t="shared" si="5"/>
        <v>35.650899450234483</v>
      </c>
      <c r="O58" s="306">
        <f t="shared" si="16"/>
        <v>0.62222557670402801</v>
      </c>
      <c r="P58" s="233">
        <f t="shared" si="17"/>
        <v>371.83255135138643</v>
      </c>
      <c r="Q58" s="234">
        <f t="shared" si="18"/>
        <v>330.95423813346417</v>
      </c>
      <c r="R58" s="234">
        <f t="shared" si="23"/>
        <v>70.47280018107368</v>
      </c>
      <c r="S58" s="235">
        <f t="shared" si="24"/>
        <v>13.024879112866808</v>
      </c>
      <c r="T58" s="236">
        <f t="shared" si="19"/>
        <v>-11.832551351386428</v>
      </c>
      <c r="U58" s="237">
        <f t="shared" si="20"/>
        <v>29.045761866535827</v>
      </c>
      <c r="V58" s="238">
        <f t="shared" si="21"/>
        <v>-70.47280018107368</v>
      </c>
      <c r="W58" s="238">
        <f t="shared" si="22"/>
        <v>-13.024879112866808</v>
      </c>
      <c r="X58" s="238"/>
      <c r="Y58" s="297"/>
    </row>
    <row r="59" spans="13:25" hidden="1">
      <c r="M59" s="304">
        <f t="shared" si="15"/>
        <v>35.335874112493144</v>
      </c>
      <c r="N59" s="305">
        <f t="shared" si="5"/>
        <v>35.335874112493144</v>
      </c>
      <c r="O59" s="306">
        <f t="shared" si="16"/>
        <v>0.61672734733323453</v>
      </c>
      <c r="P59" s="233">
        <f t="shared" si="17"/>
        <v>372.0500163538677</v>
      </c>
      <c r="Q59" s="234">
        <f t="shared" si="18"/>
        <v>330.73677313098284</v>
      </c>
      <c r="R59" s="234">
        <f t="shared" si="23"/>
        <v>70.603176655707912</v>
      </c>
      <c r="S59" s="235">
        <f t="shared" si="24"/>
        <v>12.894502638232579</v>
      </c>
      <c r="T59" s="236">
        <f t="shared" si="19"/>
        <v>-12.050016353867704</v>
      </c>
      <c r="U59" s="237">
        <f t="shared" si="20"/>
        <v>29.26322686901716</v>
      </c>
      <c r="V59" s="238">
        <f t="shared" si="21"/>
        <v>-70.603176655707912</v>
      </c>
      <c r="W59" s="238">
        <f t="shared" si="22"/>
        <v>-12.894502638232579</v>
      </c>
      <c r="X59" s="238"/>
      <c r="Y59" s="297"/>
    </row>
    <row r="60" spans="13:25" hidden="1">
      <c r="M60" s="304">
        <f t="shared" si="15"/>
        <v>35.020848774751805</v>
      </c>
      <c r="N60" s="305">
        <f t="shared" si="5"/>
        <v>35.020848774751805</v>
      </c>
      <c r="O60" s="306">
        <f t="shared" si="16"/>
        <v>0.61122911796244095</v>
      </c>
      <c r="P60" s="233">
        <f t="shared" si="17"/>
        <v>372.25765642125197</v>
      </c>
      <c r="Q60" s="234">
        <f t="shared" si="18"/>
        <v>330.52913306359864</v>
      </c>
      <c r="R60" s="234">
        <f t="shared" si="23"/>
        <v>70.727817036694915</v>
      </c>
      <c r="S60" s="235">
        <f t="shared" si="24"/>
        <v>12.769862257245567</v>
      </c>
      <c r="T60" s="236">
        <f t="shared" si="19"/>
        <v>-12.257656421251966</v>
      </c>
      <c r="U60" s="237">
        <f t="shared" si="20"/>
        <v>29.470866936401364</v>
      </c>
      <c r="V60" s="238">
        <f t="shared" si="21"/>
        <v>-70.727817036694915</v>
      </c>
      <c r="W60" s="238">
        <f t="shared" si="22"/>
        <v>-12.769862257245567</v>
      </c>
      <c r="X60" s="238"/>
      <c r="Y60" s="297"/>
    </row>
    <row r="61" spans="13:25" hidden="1">
      <c r="M61" s="304">
        <f t="shared" si="15"/>
        <v>34.705823437010466</v>
      </c>
      <c r="N61" s="305">
        <f t="shared" si="5"/>
        <v>34.705823437010466</v>
      </c>
      <c r="O61" s="306">
        <f t="shared" si="16"/>
        <v>0.60573088859164748</v>
      </c>
      <c r="P61" s="233">
        <f t="shared" si="17"/>
        <v>372.45585222151936</v>
      </c>
      <c r="Q61" s="234">
        <f t="shared" si="18"/>
        <v>330.33093726333124</v>
      </c>
      <c r="R61" s="234">
        <f t="shared" si="23"/>
        <v>70.846856630904881</v>
      </c>
      <c r="S61" s="235">
        <f t="shared" si="24"/>
        <v>12.650822663035619</v>
      </c>
      <c r="T61" s="236">
        <f t="shared" si="19"/>
        <v>-12.455852221519365</v>
      </c>
      <c r="U61" s="237">
        <f t="shared" si="20"/>
        <v>29.669062736668764</v>
      </c>
      <c r="V61" s="238">
        <f t="shared" si="21"/>
        <v>-70.846856630904881</v>
      </c>
      <c r="W61" s="238">
        <f t="shared" si="22"/>
        <v>-12.650822663035619</v>
      </c>
      <c r="X61" s="238"/>
      <c r="Y61" s="297"/>
    </row>
    <row r="62" spans="13:25" hidden="1">
      <c r="M62" s="304">
        <f t="shared" si="15"/>
        <v>34.390798099269126</v>
      </c>
      <c r="N62" s="305">
        <f t="shared" si="5"/>
        <v>34.390798099269126</v>
      </c>
      <c r="O62" s="306">
        <f t="shared" si="16"/>
        <v>0.600232659220854</v>
      </c>
      <c r="P62" s="233">
        <f t="shared" si="17"/>
        <v>372.64495521216264</v>
      </c>
      <c r="Q62" s="234">
        <f t="shared" si="18"/>
        <v>330.14183427268796</v>
      </c>
      <c r="R62" s="234">
        <f t="shared" si="23"/>
        <v>70.960423825843733</v>
      </c>
      <c r="S62" s="235">
        <f t="shared" si="24"/>
        <v>12.537255468096761</v>
      </c>
      <c r="T62" s="236">
        <f t="shared" si="19"/>
        <v>-12.644955212162643</v>
      </c>
      <c r="U62" s="237">
        <f t="shared" si="20"/>
        <v>29.858165727312041</v>
      </c>
      <c r="V62" s="238">
        <f t="shared" si="21"/>
        <v>-70.960423825843733</v>
      </c>
      <c r="W62" s="238">
        <f t="shared" si="22"/>
        <v>-12.537255468096761</v>
      </c>
      <c r="X62" s="238"/>
      <c r="Y62" s="297"/>
    </row>
    <row r="63" spans="13:25" hidden="1">
      <c r="M63" s="304">
        <f t="shared" si="15"/>
        <v>34.075772761527787</v>
      </c>
      <c r="N63" s="305">
        <f t="shared" si="5"/>
        <v>34.075772761527787</v>
      </c>
      <c r="O63" s="306">
        <f t="shared" si="16"/>
        <v>0.59473442985006042</v>
      </c>
      <c r="P63" s="233">
        <f t="shared" si="17"/>
        <v>372.82529056275274</v>
      </c>
      <c r="Q63" s="234">
        <f t="shared" si="18"/>
        <v>329.9614989220978</v>
      </c>
      <c r="R63" s="234">
        <f t="shared" si="23"/>
        <v>71.068640507420426</v>
      </c>
      <c r="S63" s="235">
        <f t="shared" si="24"/>
        <v>12.429038786520076</v>
      </c>
      <c r="T63" s="236">
        <f t="shared" si="19"/>
        <v>-12.825290562752741</v>
      </c>
      <c r="U63" s="237">
        <f t="shared" si="20"/>
        <v>30.038501077902197</v>
      </c>
      <c r="V63" s="238">
        <f t="shared" si="21"/>
        <v>-71.068640507420426</v>
      </c>
      <c r="W63" s="238">
        <f t="shared" si="22"/>
        <v>-12.429038786520076</v>
      </c>
      <c r="X63" s="238"/>
      <c r="Y63" s="297"/>
    </row>
    <row r="64" spans="13:25" hidden="1">
      <c r="M64" s="304">
        <f t="shared" si="15"/>
        <v>33.760747423786448</v>
      </c>
      <c r="N64" s="305">
        <f t="shared" si="5"/>
        <v>33.760747423786448</v>
      </c>
      <c r="O64" s="306">
        <f t="shared" si="16"/>
        <v>0.58923620047926695</v>
      </c>
      <c r="P64" s="233">
        <f t="shared" si="17"/>
        <v>372.99715969922761</v>
      </c>
      <c r="Q64" s="234">
        <f t="shared" si="18"/>
        <v>329.78962978562299</v>
      </c>
      <c r="R64" s="234">
        <f t="shared" si="23"/>
        <v>71.171622443228969</v>
      </c>
      <c r="S64" s="235">
        <f t="shared" si="24"/>
        <v>12.326056850711529</v>
      </c>
      <c r="T64" s="236">
        <f t="shared" si="19"/>
        <v>-12.997159699227609</v>
      </c>
      <c r="U64" s="237">
        <f t="shared" si="20"/>
        <v>30.210370214377008</v>
      </c>
      <c r="V64" s="238">
        <f t="shared" si="21"/>
        <v>-71.171622443228969</v>
      </c>
      <c r="W64" s="238">
        <f t="shared" si="22"/>
        <v>-12.326056850711529</v>
      </c>
      <c r="X64" s="238"/>
      <c r="Y64" s="297"/>
    </row>
    <row r="65" spans="13:25" hidden="1">
      <c r="M65" s="304">
        <f t="shared" si="15"/>
        <v>33.445722086045109</v>
      </c>
      <c r="N65" s="305">
        <f t="shared" si="5"/>
        <v>33.445722086045109</v>
      </c>
      <c r="O65" s="306">
        <f t="shared" si="16"/>
        <v>0.58373797110847336</v>
      </c>
      <c r="P65" s="233">
        <f t="shared" si="17"/>
        <v>373.16084252812237</v>
      </c>
      <c r="Q65" s="234">
        <f t="shared" si="18"/>
        <v>329.62594695672823</v>
      </c>
      <c r="R65" s="234">
        <f t="shared" si="23"/>
        <v>71.269479634705561</v>
      </c>
      <c r="S65" s="235">
        <f t="shared" si="24"/>
        <v>12.228199659234942</v>
      </c>
      <c r="T65" s="236">
        <f t="shared" si="19"/>
        <v>-13.160842528122373</v>
      </c>
      <c r="U65" s="237">
        <f t="shared" si="20"/>
        <v>30.374053043271772</v>
      </c>
      <c r="V65" s="238">
        <f t="shared" si="21"/>
        <v>-71.269479634705561</v>
      </c>
      <c r="W65" s="238">
        <f t="shared" si="22"/>
        <v>-12.228199659234942</v>
      </c>
      <c r="X65" s="238"/>
      <c r="Y65" s="297"/>
    </row>
    <row r="66" spans="13:25" hidden="1">
      <c r="M66" s="304">
        <f t="shared" si="15"/>
        <v>33.13069674830377</v>
      </c>
      <c r="N66" s="305">
        <f t="shared" si="5"/>
        <v>33.13069674830377</v>
      </c>
      <c r="O66" s="306">
        <f t="shared" si="16"/>
        <v>0.57823974173767989</v>
      </c>
      <c r="P66" s="233">
        <f t="shared" si="17"/>
        <v>373.31659938859747</v>
      </c>
      <c r="Q66" s="234">
        <f t="shared" si="18"/>
        <v>329.47019009625308</v>
      </c>
      <c r="R66" s="234">
        <f t="shared" si="23"/>
        <v>71.362316641130477</v>
      </c>
      <c r="S66" s="235">
        <f t="shared" si="24"/>
        <v>12.135362652810015</v>
      </c>
      <c r="T66" s="236">
        <f t="shared" si="19"/>
        <v>-13.316599388597467</v>
      </c>
      <c r="U66" s="237">
        <f t="shared" si="20"/>
        <v>30.529809903746923</v>
      </c>
      <c r="V66" s="238">
        <f t="shared" si="21"/>
        <v>-71.362316641130477</v>
      </c>
      <c r="W66" s="238">
        <f t="shared" si="22"/>
        <v>-12.135362652810015</v>
      </c>
      <c r="X66" s="238"/>
      <c r="Y66" s="297"/>
    </row>
    <row r="67" spans="13:25" hidden="1">
      <c r="M67" s="304">
        <f t="shared" si="15"/>
        <v>32.81567141056243</v>
      </c>
      <c r="N67" s="305">
        <f t="shared" si="5"/>
        <v>32.81567141056243</v>
      </c>
      <c r="O67" s="306">
        <f t="shared" si="16"/>
        <v>0.57274151236688631</v>
      </c>
      <c r="P67" s="233">
        <f t="shared" si="17"/>
        <v>373.46467277183353</v>
      </c>
      <c r="Q67" s="234">
        <f t="shared" si="18"/>
        <v>329.32211671301707</v>
      </c>
      <c r="R67" s="234">
        <f t="shared" si="23"/>
        <v>71.450232878111436</v>
      </c>
      <c r="S67" s="235">
        <f t="shared" si="24"/>
        <v>12.047446415829063</v>
      </c>
      <c r="T67" s="236">
        <f t="shared" si="19"/>
        <v>-13.464672771833534</v>
      </c>
      <c r="U67" s="237">
        <f t="shared" si="20"/>
        <v>30.677883286982933</v>
      </c>
      <c r="V67" s="238">
        <f t="shared" si="21"/>
        <v>-71.450232878111436</v>
      </c>
      <c r="W67" s="238">
        <f t="shared" si="22"/>
        <v>-12.047446415829063</v>
      </c>
      <c r="X67" s="238"/>
      <c r="Y67" s="297"/>
    </row>
    <row r="68" spans="13:25" hidden="1">
      <c r="M68" s="304">
        <f t="shared" si="15"/>
        <v>32.500646072821091</v>
      </c>
      <c r="N68" s="305">
        <f t="shared" si="5"/>
        <v>32.500646072821091</v>
      </c>
      <c r="O68" s="306">
        <f t="shared" si="16"/>
        <v>0.56724328299609283</v>
      </c>
      <c r="P68" s="233">
        <f t="shared" si="17"/>
        <v>373.60528884068958</v>
      </c>
      <c r="Q68" s="234">
        <f t="shared" si="18"/>
        <v>329.18150064416102</v>
      </c>
      <c r="R68" s="234">
        <f t="shared" si="23"/>
        <v>71.533322892888165</v>
      </c>
      <c r="S68" s="235">
        <f t="shared" si="24"/>
        <v>11.964356401052333</v>
      </c>
      <c r="T68" s="236">
        <f t="shared" si="19"/>
        <v>-13.605288840689582</v>
      </c>
      <c r="U68" s="237">
        <f t="shared" si="20"/>
        <v>30.818499355838981</v>
      </c>
      <c r="V68" s="238">
        <f t="shared" si="21"/>
        <v>-71.533322892888165</v>
      </c>
      <c r="W68" s="238">
        <f t="shared" si="22"/>
        <v>-11.964356401052333</v>
      </c>
      <c r="X68" s="238"/>
      <c r="Y68" s="297"/>
    </row>
    <row r="69" spans="13:25" hidden="1">
      <c r="M69" s="304">
        <f t="shared" si="15"/>
        <v>32.185620735079752</v>
      </c>
      <c r="N69" s="305">
        <f t="shared" si="5"/>
        <v>32.185620735079752</v>
      </c>
      <c r="O69" s="306">
        <f t="shared" si="16"/>
        <v>0.56174505362529925</v>
      </c>
      <c r="P69" s="233">
        <f t="shared" si="17"/>
        <v>373.73865877711432</v>
      </c>
      <c r="Q69" s="234">
        <f t="shared" si="18"/>
        <v>329.04813070773622</v>
      </c>
      <c r="R69" s="234">
        <f t="shared" si="23"/>
        <v>71.611676618543441</v>
      </c>
      <c r="S69" s="235">
        <f t="shared" si="24"/>
        <v>11.886002675397043</v>
      </c>
      <c r="T69" s="236">
        <f t="shared" si="19"/>
        <v>-13.738658777114324</v>
      </c>
      <c r="U69" s="237">
        <f t="shared" si="20"/>
        <v>30.95186929226378</v>
      </c>
      <c r="V69" s="238">
        <f t="shared" si="21"/>
        <v>-71.611676618543441</v>
      </c>
      <c r="W69" s="238">
        <f t="shared" si="22"/>
        <v>-11.886002675397043</v>
      </c>
      <c r="X69" s="238"/>
      <c r="Y69" s="297"/>
    </row>
    <row r="70" spans="13:25" hidden="1">
      <c r="M70" s="304">
        <f t="shared" si="15"/>
        <v>31.870595397338416</v>
      </c>
      <c r="N70" s="305">
        <f t="shared" si="5"/>
        <v>31.870595397338416</v>
      </c>
      <c r="O70" s="306">
        <f t="shared" si="16"/>
        <v>0.55624682425450578</v>
      </c>
      <c r="P70" s="233">
        <f t="shared" si="17"/>
        <v>373.86497998039658</v>
      </c>
      <c r="Q70" s="234">
        <f t="shared" si="18"/>
        <v>328.92180950445396</v>
      </c>
      <c r="R70" s="234">
        <f t="shared" si="23"/>
        <v>71.685379608980369</v>
      </c>
      <c r="S70" s="235">
        <f t="shared" si="24"/>
        <v>11.812299684960125</v>
      </c>
      <c r="T70" s="236">
        <f t="shared" si="19"/>
        <v>-13.864979980396583</v>
      </c>
      <c r="U70" s="237">
        <f t="shared" si="20"/>
        <v>31.078190495546039</v>
      </c>
      <c r="V70" s="238">
        <f t="shared" si="21"/>
        <v>-71.685379608980369</v>
      </c>
      <c r="W70" s="238">
        <f t="shared" si="22"/>
        <v>-11.812299684960125</v>
      </c>
      <c r="X70" s="238"/>
      <c r="Y70" s="297"/>
    </row>
    <row r="71" spans="13:25" hidden="1">
      <c r="M71" s="304">
        <f t="shared" si="15"/>
        <v>31.555570059597081</v>
      </c>
      <c r="N71" s="305">
        <f t="shared" si="5"/>
        <v>31.555570059597081</v>
      </c>
      <c r="O71" s="306">
        <f t="shared" si="16"/>
        <v>0.55074859488371231</v>
      </c>
      <c r="P71" s="233">
        <f t="shared" si="17"/>
        <v>373.98443713572834</v>
      </c>
      <c r="Q71" s="234">
        <f t="shared" si="18"/>
        <v>328.80235234912226</v>
      </c>
      <c r="R71" s="234">
        <f t="shared" si="23"/>
        <v>71.754513256327769</v>
      </c>
      <c r="S71" s="235">
        <f t="shared" si="24"/>
        <v>11.743166037612731</v>
      </c>
      <c r="T71" s="236">
        <f t="shared" si="19"/>
        <v>-13.984437135728342</v>
      </c>
      <c r="U71" s="237">
        <f t="shared" si="20"/>
        <v>31.197647650877741</v>
      </c>
      <c r="V71" s="238">
        <f t="shared" si="21"/>
        <v>-71.754513256327769</v>
      </c>
      <c r="W71" s="238">
        <f t="shared" si="22"/>
        <v>-11.743166037612731</v>
      </c>
      <c r="X71" s="238"/>
      <c r="Y71" s="297"/>
    </row>
    <row r="72" spans="13:25" hidden="1">
      <c r="M72" s="304">
        <f t="shared" si="15"/>
        <v>31.240544721855745</v>
      </c>
      <c r="N72" s="305">
        <f t="shared" ref="N72:N135" si="25">N71-step</f>
        <v>31.240544721855745</v>
      </c>
      <c r="O72" s="306">
        <f t="shared" si="16"/>
        <v>0.54525036551291883</v>
      </c>
      <c r="P72" s="233">
        <f t="shared" si="17"/>
        <v>374.09720316958362</v>
      </c>
      <c r="Q72" s="234">
        <f t="shared" si="18"/>
        <v>328.68958631526698</v>
      </c>
      <c r="R72" s="234">
        <f t="shared" ref="R72:R103" si="26">IFERROR(DEGREES(grt_+ACOS((SIN(h_)-SIN(d_)*SIN(O72))/COS(d_)/COS(O72))),#N/A)</f>
        <v>71.819154992262014</v>
      </c>
      <c r="S72" s="235">
        <f t="shared" ref="S72:S103" si="27">IFERROR(DEGREES(grt_-ACOS((SIN(h_)-SIN(d_)*SIN(O72))/COS(d_)/COS(O72))),#N/A)</f>
        <v>11.67852430167847</v>
      </c>
      <c r="T72" s="236">
        <f t="shared" si="19"/>
        <v>-14.097203169583622</v>
      </c>
      <c r="U72" s="237">
        <f t="shared" si="20"/>
        <v>31.310413684733021</v>
      </c>
      <c r="V72" s="238">
        <f t="shared" si="21"/>
        <v>-71.819154992262014</v>
      </c>
      <c r="W72" s="238">
        <f t="shared" si="22"/>
        <v>-11.67852430167847</v>
      </c>
      <c r="X72" s="238"/>
      <c r="Y72" s="297"/>
    </row>
    <row r="73" spans="13:25" hidden="1">
      <c r="M73" s="304">
        <f t="shared" si="15"/>
        <v>30.925519384114409</v>
      </c>
      <c r="N73" s="305">
        <f t="shared" si="25"/>
        <v>30.925519384114409</v>
      </c>
      <c r="O73" s="306">
        <f t="shared" si="16"/>
        <v>0.53975213614212536</v>
      </c>
      <c r="P73" s="233">
        <f t="shared" si="17"/>
        <v>374.20344010594903</v>
      </c>
      <c r="Q73" s="234">
        <f t="shared" si="18"/>
        <v>328.58334937890152</v>
      </c>
      <c r="R73" s="234">
        <f t="shared" si="26"/>
        <v>71.879378474580534</v>
      </c>
      <c r="S73" s="235">
        <f t="shared" si="27"/>
        <v>11.618300819359973</v>
      </c>
      <c r="T73" s="236">
        <f t="shared" si="19"/>
        <v>-14.203440105949028</v>
      </c>
      <c r="U73" s="237">
        <f t="shared" si="20"/>
        <v>31.416650621098483</v>
      </c>
      <c r="V73" s="238">
        <f t="shared" si="21"/>
        <v>-71.879378474580534</v>
      </c>
      <c r="W73" s="238">
        <f t="shared" si="22"/>
        <v>-11.618300819359973</v>
      </c>
      <c r="X73" s="238"/>
      <c r="Y73" s="297"/>
    </row>
    <row r="74" spans="13:25" hidden="1">
      <c r="M74" s="304">
        <f t="shared" si="15"/>
        <v>30.610494046373073</v>
      </c>
      <c r="N74" s="305">
        <f t="shared" si="25"/>
        <v>30.610494046373073</v>
      </c>
      <c r="O74" s="306">
        <f t="shared" si="16"/>
        <v>0.53425390677133189</v>
      </c>
      <c r="P74" s="233">
        <f t="shared" si="17"/>
        <v>374.30329983539741</v>
      </c>
      <c r="Q74" s="234">
        <f t="shared" si="18"/>
        <v>328.48348964945319</v>
      </c>
      <c r="R74" s="234">
        <f t="shared" si="26"/>
        <v>71.935253760224938</v>
      </c>
      <c r="S74" s="235">
        <f t="shared" si="27"/>
        <v>11.562425533715556</v>
      </c>
      <c r="T74" s="236">
        <f t="shared" si="19"/>
        <v>-14.303299835397411</v>
      </c>
      <c r="U74" s="237">
        <f t="shared" si="20"/>
        <v>31.51651035054681</v>
      </c>
      <c r="V74" s="238">
        <f t="shared" si="21"/>
        <v>-71.935253760224938</v>
      </c>
      <c r="W74" s="238">
        <f t="shared" si="22"/>
        <v>-11.562425533715556</v>
      </c>
      <c r="X74" s="238"/>
      <c r="Y74" s="297"/>
    </row>
    <row r="75" spans="13:25" hidden="1">
      <c r="M75" s="304">
        <f t="shared" si="15"/>
        <v>30.295468708631738</v>
      </c>
      <c r="N75" s="305">
        <f t="shared" si="25"/>
        <v>30.295468708631738</v>
      </c>
      <c r="O75" s="306">
        <f t="shared" si="16"/>
        <v>0.52875567740053853</v>
      </c>
      <c r="P75" s="233">
        <f t="shared" si="17"/>
        <v>374.39692480728058</v>
      </c>
      <c r="Q75" s="234">
        <f t="shared" si="18"/>
        <v>328.38986467757002</v>
      </c>
      <c r="R75" s="234">
        <f t="shared" si="26"/>
        <v>71.986847465833122</v>
      </c>
      <c r="S75" s="235">
        <f t="shared" si="27"/>
        <v>11.510831828107365</v>
      </c>
      <c r="T75" s="236">
        <f t="shared" si="19"/>
        <v>-14.396924807280584</v>
      </c>
      <c r="U75" s="237">
        <f t="shared" si="20"/>
        <v>31.610135322429983</v>
      </c>
      <c r="V75" s="238">
        <f t="shared" si="21"/>
        <v>-71.986847465833122</v>
      </c>
      <c r="W75" s="238">
        <f t="shared" si="22"/>
        <v>-11.510831828107365</v>
      </c>
      <c r="X75" s="238"/>
      <c r="Y75" s="297"/>
    </row>
    <row r="76" spans="13:25" hidden="1">
      <c r="M76" s="304">
        <f t="shared" si="15"/>
        <v>29.980443370890402</v>
      </c>
      <c r="N76" s="305">
        <f t="shared" si="25"/>
        <v>29.980443370890402</v>
      </c>
      <c r="O76" s="306">
        <f t="shared" si="16"/>
        <v>0.52325744802974505</v>
      </c>
      <c r="P76" s="233">
        <f t="shared" si="17"/>
        <v>374.48444865388103</v>
      </c>
      <c r="Q76" s="234">
        <f t="shared" si="18"/>
        <v>328.30234083096957</v>
      </c>
      <c r="R76" s="234">
        <f t="shared" si="26"/>
        <v>72.034222916791194</v>
      </c>
      <c r="S76" s="235">
        <f t="shared" si="27"/>
        <v>11.46345637714929</v>
      </c>
      <c r="T76" s="236">
        <f t="shared" si="19"/>
        <v>-14.484448653881032</v>
      </c>
      <c r="U76" s="237">
        <f t="shared" si="20"/>
        <v>31.69765916903043</v>
      </c>
      <c r="V76" s="238">
        <f t="shared" si="21"/>
        <v>-72.034222916791194</v>
      </c>
      <c r="W76" s="238">
        <f t="shared" si="22"/>
        <v>-11.46345637714929</v>
      </c>
      <c r="X76" s="238"/>
      <c r="Y76" s="297"/>
    </row>
    <row r="77" spans="13:25" hidden="1">
      <c r="M77" s="304">
        <f t="shared" si="15"/>
        <v>29.665418033149066</v>
      </c>
      <c r="N77" s="305">
        <f t="shared" si="25"/>
        <v>29.665418033149066</v>
      </c>
      <c r="O77" s="306">
        <f t="shared" si="16"/>
        <v>0.51775921865895158</v>
      </c>
      <c r="P77" s="233">
        <f t="shared" si="17"/>
        <v>374.56599675415009</v>
      </c>
      <c r="Q77" s="234">
        <f t="shared" si="18"/>
        <v>328.22079273070051</v>
      </c>
      <c r="R77" s="234">
        <f t="shared" si="26"/>
        <v>72.077440285661879</v>
      </c>
      <c r="S77" s="235">
        <f t="shared" si="27"/>
        <v>11.420239008278626</v>
      </c>
      <c r="T77" s="236">
        <f t="shared" si="19"/>
        <v>-14.565996754150092</v>
      </c>
      <c r="U77" s="237">
        <f t="shared" si="20"/>
        <v>31.779207269299491</v>
      </c>
      <c r="V77" s="238">
        <f t="shared" si="21"/>
        <v>-72.077440285661879</v>
      </c>
      <c r="W77" s="238">
        <f t="shared" si="22"/>
        <v>-11.420239008278626</v>
      </c>
      <c r="X77" s="238"/>
      <c r="Y77" s="297"/>
    </row>
    <row r="78" spans="13:25" hidden="1">
      <c r="M78" s="304">
        <f t="shared" si="15"/>
        <v>29.350392695407731</v>
      </c>
      <c r="N78" s="305">
        <f t="shared" si="25"/>
        <v>29.350392695407731</v>
      </c>
      <c r="O78" s="306">
        <f t="shared" si="16"/>
        <v>0.51226098928815811</v>
      </c>
      <c r="P78" s="233">
        <f t="shared" si="17"/>
        <v>374.64168674363424</v>
      </c>
      <c r="Q78" s="234">
        <f t="shared" si="18"/>
        <v>328.14510274121631</v>
      </c>
      <c r="R78" s="234">
        <f t="shared" si="26"/>
        <v>72.116556720779812</v>
      </c>
      <c r="S78" s="235">
        <f t="shared" si="27"/>
        <v>11.381122573160679</v>
      </c>
      <c r="T78" s="236">
        <f t="shared" si="19"/>
        <v>-14.641686743634239</v>
      </c>
      <c r="U78" s="237">
        <f t="shared" si="20"/>
        <v>31.854897258783694</v>
      </c>
      <c r="V78" s="238">
        <f t="shared" si="21"/>
        <v>-72.116556720779812</v>
      </c>
      <c r="W78" s="238">
        <f t="shared" si="22"/>
        <v>-11.381122573160679</v>
      </c>
      <c r="X78" s="238"/>
      <c r="Y78" s="297"/>
    </row>
    <row r="79" spans="13:25" hidden="1">
      <c r="M79" s="304">
        <f t="shared" si="15"/>
        <v>29.035367357666395</v>
      </c>
      <c r="N79" s="305">
        <f t="shared" si="25"/>
        <v>29.035367357666395</v>
      </c>
      <c r="O79" s="306">
        <f t="shared" si="16"/>
        <v>0.50676275991736464</v>
      </c>
      <c r="P79" s="233">
        <f t="shared" si="17"/>
        <v>374.71162897631865</v>
      </c>
      <c r="Q79" s="234">
        <f t="shared" si="18"/>
        <v>328.07516050853189</v>
      </c>
      <c r="R79" s="234">
        <f t="shared" si="26"/>
        <v>72.151626465729748</v>
      </c>
      <c r="S79" s="235">
        <f t="shared" si="27"/>
        <v>11.346052828210739</v>
      </c>
      <c r="T79" s="236">
        <f t="shared" si="19"/>
        <v>-14.71162897631865</v>
      </c>
      <c r="U79" s="237">
        <f t="shared" si="20"/>
        <v>31.924839491468106</v>
      </c>
      <c r="V79" s="238">
        <f t="shared" si="21"/>
        <v>-72.151626465729748</v>
      </c>
      <c r="W79" s="238">
        <f t="shared" si="22"/>
        <v>-11.346052828210739</v>
      </c>
      <c r="X79" s="238"/>
      <c r="Y79" s="297"/>
    </row>
    <row r="80" spans="13:25" hidden="1">
      <c r="M80" s="304">
        <f t="shared" si="15"/>
        <v>28.720342019925059</v>
      </c>
      <c r="N80" s="305">
        <f t="shared" si="25"/>
        <v>28.720342019925059</v>
      </c>
      <c r="O80" s="306">
        <f t="shared" si="16"/>
        <v>0.50126453054657116</v>
      </c>
      <c r="P80" s="233">
        <f t="shared" si="17"/>
        <v>374.77592694337494</v>
      </c>
      <c r="Q80" s="234">
        <f t="shared" si="18"/>
        <v>328.01086254147566</v>
      </c>
      <c r="R80" s="234">
        <f t="shared" si="26"/>
        <v>72.18270097035311</v>
      </c>
      <c r="S80" s="235">
        <f t="shared" si="27"/>
        <v>11.314978323587374</v>
      </c>
      <c r="T80" s="236">
        <f t="shared" si="19"/>
        <v>-14.775926943374941</v>
      </c>
      <c r="U80" s="237">
        <f t="shared" si="20"/>
        <v>31.98913745852434</v>
      </c>
      <c r="V80" s="238">
        <f t="shared" si="21"/>
        <v>-72.18270097035311</v>
      </c>
      <c r="W80" s="238">
        <f t="shared" si="22"/>
        <v>-11.314978323587374</v>
      </c>
      <c r="X80" s="238"/>
      <c r="Y80" s="297"/>
    </row>
    <row r="81" spans="13:25" hidden="1">
      <c r="M81" s="304">
        <f t="shared" si="15"/>
        <v>28.405316682183724</v>
      </c>
      <c r="N81" s="305">
        <f t="shared" si="25"/>
        <v>28.405316682183724</v>
      </c>
      <c r="O81" s="306">
        <f t="shared" si="16"/>
        <v>0.49576630117577769</v>
      </c>
      <c r="P81" s="233">
        <f t="shared" si="17"/>
        <v>374.83467765316084</v>
      </c>
      <c r="Q81" s="234">
        <f t="shared" si="18"/>
        <v>327.95211183168976</v>
      </c>
      <c r="R81" s="234">
        <f t="shared" si="26"/>
        <v>72.209828993869721</v>
      </c>
      <c r="S81" s="235">
        <f t="shared" si="27"/>
        <v>11.287850300070781</v>
      </c>
      <c r="T81" s="236">
        <f t="shared" si="19"/>
        <v>-14.834677653160838</v>
      </c>
      <c r="U81" s="237">
        <f t="shared" si="20"/>
        <v>32.047888168310237</v>
      </c>
      <c r="V81" s="238">
        <f t="shared" si="21"/>
        <v>-72.209828993869721</v>
      </c>
      <c r="W81" s="238">
        <f t="shared" si="22"/>
        <v>-11.287850300070781</v>
      </c>
      <c r="X81" s="238"/>
      <c r="Y81" s="297"/>
    </row>
    <row r="82" spans="13:25" hidden="1">
      <c r="M82" s="304">
        <f t="shared" si="15"/>
        <v>28.090291344442388</v>
      </c>
      <c r="N82" s="305">
        <f t="shared" si="25"/>
        <v>28.090291344442388</v>
      </c>
      <c r="O82" s="306">
        <f t="shared" si="16"/>
        <v>0.49026807180498422</v>
      </c>
      <c r="P82" s="233">
        <f t="shared" si="17"/>
        <v>374.88797197627463</v>
      </c>
      <c r="Q82" s="234">
        <f t="shared" si="18"/>
        <v>327.89881750857592</v>
      </c>
      <c r="R82" s="234">
        <f t="shared" si="26"/>
        <v>72.233056700643814</v>
      </c>
      <c r="S82" s="235">
        <f t="shared" si="27"/>
        <v>11.264622593296675</v>
      </c>
      <c r="T82" s="236">
        <f t="shared" si="19"/>
        <v>-14.887971976274628</v>
      </c>
      <c r="U82" s="237">
        <f t="shared" si="20"/>
        <v>32.101182491424083</v>
      </c>
      <c r="V82" s="238">
        <f t="shared" si="21"/>
        <v>-72.233056700643814</v>
      </c>
      <c r="W82" s="238">
        <f t="shared" si="22"/>
        <v>-11.264622593296675</v>
      </c>
      <c r="X82" s="238"/>
      <c r="Y82" s="297"/>
    </row>
    <row r="83" spans="13:25" hidden="1">
      <c r="M83" s="304">
        <f t="shared" si="15"/>
        <v>27.775266006701052</v>
      </c>
      <c r="N83" s="305">
        <f t="shared" si="25"/>
        <v>27.775266006701052</v>
      </c>
      <c r="O83" s="306">
        <f t="shared" si="16"/>
        <v>0.48476984243419075</v>
      </c>
      <c r="P83" s="233">
        <f t="shared" si="17"/>
        <v>374.93589495899278</v>
      </c>
      <c r="Q83" s="234">
        <f t="shared" si="18"/>
        <v>327.85089452585777</v>
      </c>
      <c r="R83" s="234">
        <f t="shared" si="26"/>
        <v>72.252427749076318</v>
      </c>
      <c r="S83" s="235">
        <f t="shared" si="27"/>
        <v>11.245251544864187</v>
      </c>
      <c r="T83" s="236">
        <f t="shared" si="19"/>
        <v>-14.935894958992776</v>
      </c>
      <c r="U83" s="237">
        <f t="shared" si="20"/>
        <v>32.149105474142232</v>
      </c>
      <c r="V83" s="238">
        <f t="shared" si="21"/>
        <v>-72.252427749076318</v>
      </c>
      <c r="W83" s="238">
        <f t="shared" si="22"/>
        <v>-11.245251544864187</v>
      </c>
      <c r="X83" s="238"/>
      <c r="Y83" s="297"/>
    </row>
    <row r="84" spans="13:25" hidden="1">
      <c r="M84" s="304">
        <f t="shared" si="15"/>
        <v>27.460240668959717</v>
      </c>
      <c r="N84" s="305">
        <f t="shared" si="25"/>
        <v>27.460240668959717</v>
      </c>
      <c r="O84" s="306">
        <f t="shared" si="16"/>
        <v>0.47927161306339727</v>
      </c>
      <c r="P84" s="233">
        <f t="shared" si="17"/>
        <v>374.97852610801095</v>
      </c>
      <c r="Q84" s="234">
        <f t="shared" si="18"/>
        <v>327.80826337683965</v>
      </c>
      <c r="R84" s="234">
        <f t="shared" si="26"/>
        <v>72.267983374056939</v>
      </c>
      <c r="S84" s="235">
        <f t="shared" si="27"/>
        <v>11.229695919883559</v>
      </c>
      <c r="T84" s="236">
        <f t="shared" si="19"/>
        <v>-14.978526108010954</v>
      </c>
      <c r="U84" s="237">
        <f t="shared" si="20"/>
        <v>32.191736623160352</v>
      </c>
      <c r="V84" s="238">
        <f t="shared" si="21"/>
        <v>-72.267983374056939</v>
      </c>
      <c r="W84" s="238">
        <f t="shared" si="22"/>
        <v>-11.229695919883559</v>
      </c>
      <c r="X84" s="238"/>
      <c r="Y84" s="297"/>
    </row>
    <row r="85" spans="13:25" hidden="1">
      <c r="M85" s="304">
        <f t="shared" si="15"/>
        <v>27.145215331218381</v>
      </c>
      <c r="N85" s="305">
        <f t="shared" si="25"/>
        <v>27.145215331218381</v>
      </c>
      <c r="O85" s="306">
        <f t="shared" si="16"/>
        <v>0.47377338369260386</v>
      </c>
      <c r="P85" s="233">
        <f t="shared" si="17"/>
        <v>375.01593964905533</v>
      </c>
      <c r="Q85" s="234">
        <f t="shared" si="18"/>
        <v>327.77084983579527</v>
      </c>
      <c r="R85" s="234">
        <f t="shared" si="26"/>
        <v>72.279762463372478</v>
      </c>
      <c r="S85" s="235">
        <f t="shared" si="27"/>
        <v>11.217916830568026</v>
      </c>
      <c r="T85" s="236">
        <f t="shared" si="19"/>
        <v>-15.015939649055326</v>
      </c>
      <c r="U85" s="237">
        <f t="shared" si="20"/>
        <v>32.229150164204725</v>
      </c>
      <c r="V85" s="238">
        <f t="shared" si="21"/>
        <v>-72.279762463372478</v>
      </c>
      <c r="W85" s="238">
        <f t="shared" si="22"/>
        <v>-11.217916830568026</v>
      </c>
      <c r="X85" s="238"/>
      <c r="Y85" s="297"/>
    </row>
    <row r="86" spans="13:25" hidden="1">
      <c r="M86" s="304">
        <f t="shared" si="15"/>
        <v>26.830189993477045</v>
      </c>
      <c r="N86" s="305">
        <f t="shared" si="25"/>
        <v>26.830189993477045</v>
      </c>
      <c r="O86" s="306">
        <f t="shared" si="16"/>
        <v>0.46827515432181038</v>
      </c>
      <c r="P86" s="233">
        <f t="shared" si="17"/>
        <v>375.04820476161825</v>
      </c>
      <c r="Q86" s="234">
        <f t="shared" si="18"/>
        <v>327.73858472323229</v>
      </c>
      <c r="R86" s="234">
        <f t="shared" si="26"/>
        <v>72.287801628427701</v>
      </c>
      <c r="S86" s="235">
        <f t="shared" si="27"/>
        <v>11.20987766551279</v>
      </c>
      <c r="T86" s="236">
        <f t="shared" si="19"/>
        <v>-15.048204761618251</v>
      </c>
      <c r="U86" s="237">
        <f t="shared" si="20"/>
        <v>32.261415276767707</v>
      </c>
      <c r="V86" s="238">
        <f t="shared" si="21"/>
        <v>-72.287801628427701</v>
      </c>
      <c r="W86" s="238">
        <f t="shared" si="22"/>
        <v>-11.20987766551279</v>
      </c>
      <c r="X86" s="238"/>
      <c r="Y86" s="297"/>
    </row>
    <row r="87" spans="13:25" hidden="1">
      <c r="M87" s="304">
        <f t="shared" si="15"/>
        <v>26.51516465573571</v>
      </c>
      <c r="N87" s="305">
        <f t="shared" si="25"/>
        <v>26.51516465573571</v>
      </c>
      <c r="O87" s="306">
        <f t="shared" si="16"/>
        <v>0.46277692495101691</v>
      </c>
      <c r="P87" s="233">
        <f t="shared" si="17"/>
        <v>375.07538579180255</v>
      </c>
      <c r="Q87" s="234">
        <f t="shared" si="18"/>
        <v>327.71140369304806</v>
      </c>
      <c r="R87" s="234">
        <f t="shared" si="26"/>
        <v>72.292135269602511</v>
      </c>
      <c r="S87" s="235">
        <f t="shared" si="27"/>
        <v>11.205544024337984</v>
      </c>
      <c r="T87" s="236">
        <f t="shared" si="19"/>
        <v>-15.075385791802546</v>
      </c>
      <c r="U87" s="237">
        <f t="shared" si="20"/>
        <v>32.288596306951945</v>
      </c>
      <c r="V87" s="238">
        <f t="shared" si="21"/>
        <v>-72.292135269602511</v>
      </c>
      <c r="W87" s="238">
        <f t="shared" si="22"/>
        <v>-11.205544024337984</v>
      </c>
      <c r="X87" s="238"/>
      <c r="Y87" s="297"/>
    </row>
    <row r="88" spans="13:25" hidden="1">
      <c r="M88" s="304">
        <f t="shared" si="15"/>
        <v>26.200139317994374</v>
      </c>
      <c r="N88" s="305">
        <f t="shared" si="25"/>
        <v>26.200139317994374</v>
      </c>
      <c r="O88" s="306">
        <f t="shared" si="16"/>
        <v>0.45727869558022344</v>
      </c>
      <c r="P88" s="233">
        <f t="shared" si="17"/>
        <v>375.09754244502108</v>
      </c>
      <c r="Q88" s="234">
        <f t="shared" si="18"/>
        <v>327.68924703982952</v>
      </c>
      <c r="R88" s="234">
        <f t="shared" si="26"/>
        <v>72.292795636538244</v>
      </c>
      <c r="S88" s="235">
        <f t="shared" si="27"/>
        <v>11.204883657402261</v>
      </c>
      <c r="T88" s="236">
        <f t="shared" si="19"/>
        <v>-15.097542445021077</v>
      </c>
      <c r="U88" s="237">
        <f t="shared" si="20"/>
        <v>32.310752960170475</v>
      </c>
      <c r="V88" s="238">
        <f t="shared" si="21"/>
        <v>-72.292795636538244</v>
      </c>
      <c r="W88" s="238">
        <f t="shared" si="22"/>
        <v>-11.204883657402261</v>
      </c>
      <c r="X88" s="238"/>
      <c r="Y88" s="297"/>
    </row>
    <row r="89" spans="13:25" hidden="1">
      <c r="M89" s="304">
        <f t="shared" si="15"/>
        <v>25.885113980253038</v>
      </c>
      <c r="N89" s="305">
        <f t="shared" si="25"/>
        <v>25.885113980253038</v>
      </c>
      <c r="O89" s="306">
        <f t="shared" si="16"/>
        <v>0.45178046620942997</v>
      </c>
      <c r="P89" s="233">
        <f t="shared" si="17"/>
        <v>375.11472996008615</v>
      </c>
      <c r="Q89" s="234">
        <f t="shared" si="18"/>
        <v>327.67205952476439</v>
      </c>
      <c r="R89" s="234">
        <f t="shared" si="26"/>
        <v>72.289812883616875</v>
      </c>
      <c r="S89" s="235">
        <f t="shared" si="27"/>
        <v>11.207866410323632</v>
      </c>
      <c r="T89" s="236">
        <f t="shared" si="19"/>
        <v>-15.114729960086152</v>
      </c>
      <c r="U89" s="237">
        <f t="shared" si="20"/>
        <v>32.327940475235607</v>
      </c>
      <c r="V89" s="238">
        <f t="shared" si="21"/>
        <v>-72.289812883616875</v>
      </c>
      <c r="W89" s="238">
        <f t="shared" si="22"/>
        <v>-11.207866410323632</v>
      </c>
      <c r="X89" s="238"/>
      <c r="Y89" s="297"/>
    </row>
    <row r="90" spans="13:25" hidden="1">
      <c r="M90" s="304">
        <f t="shared" si="15"/>
        <v>25.570088642511703</v>
      </c>
      <c r="N90" s="305">
        <f t="shared" si="25"/>
        <v>25.570088642511703</v>
      </c>
      <c r="O90" s="306">
        <f t="shared" si="16"/>
        <v>0.44628223683863649</v>
      </c>
      <c r="P90" s="233">
        <f t="shared" si="17"/>
        <v>375.12699926603796</v>
      </c>
      <c r="Q90" s="234">
        <f t="shared" si="18"/>
        <v>327.65979021881259</v>
      </c>
      <c r="R90" s="234">
        <f t="shared" si="26"/>
        <v>72.283215120871432</v>
      </c>
      <c r="S90" s="235">
        <f t="shared" si="27"/>
        <v>11.214464173069057</v>
      </c>
      <c r="T90" s="236">
        <f t="shared" si="19"/>
        <v>-15.126999266037956</v>
      </c>
      <c r="U90" s="237">
        <f t="shared" si="20"/>
        <v>32.340209781187411</v>
      </c>
      <c r="V90" s="238">
        <f t="shared" si="21"/>
        <v>-72.283215120871432</v>
      </c>
      <c r="W90" s="238">
        <f t="shared" si="22"/>
        <v>-11.214464173069057</v>
      </c>
      <c r="X90" s="238"/>
      <c r="Y90" s="297"/>
    </row>
    <row r="91" spans="13:25" hidden="1">
      <c r="M91" s="304">
        <f t="shared" si="15"/>
        <v>25.255063304770367</v>
      </c>
      <c r="N91" s="305">
        <f t="shared" si="25"/>
        <v>25.255063304770367</v>
      </c>
      <c r="O91" s="306">
        <f t="shared" si="16"/>
        <v>0.44078400746784308</v>
      </c>
      <c r="P91" s="233">
        <f t="shared" si="17"/>
        <v>375.13439712289386</v>
      </c>
      <c r="Q91" s="234">
        <f t="shared" si="18"/>
        <v>327.65239236195669</v>
      </c>
      <c r="R91" s="234">
        <f t="shared" si="26"/>
        <v>72.273028460541028</v>
      </c>
      <c r="S91" s="235">
        <f t="shared" si="27"/>
        <v>11.224650833399457</v>
      </c>
      <c r="T91" s="236">
        <f t="shared" si="19"/>
        <v>-15.134397122893859</v>
      </c>
      <c r="U91" s="237">
        <f t="shared" si="20"/>
        <v>32.347607638043314</v>
      </c>
      <c r="V91" s="238">
        <f t="shared" si="21"/>
        <v>-72.273028460541028</v>
      </c>
      <c r="W91" s="238">
        <f t="shared" si="22"/>
        <v>-11.224650833399457</v>
      </c>
      <c r="X91" s="238"/>
      <c r="Y91" s="297"/>
    </row>
    <row r="92" spans="13:25" hidden="1">
      <c r="M92" s="304">
        <f t="shared" si="15"/>
        <v>24.940037967029031</v>
      </c>
      <c r="N92" s="305">
        <f t="shared" si="25"/>
        <v>24.940037967029031</v>
      </c>
      <c r="O92" s="306">
        <f t="shared" si="16"/>
        <v>0.4352857780970496</v>
      </c>
      <c r="P92" s="233">
        <f t="shared" si="17"/>
        <v>375.13696624735218</v>
      </c>
      <c r="Q92" s="234">
        <f t="shared" si="18"/>
        <v>327.64982323749837</v>
      </c>
      <c r="R92" s="234">
        <f t="shared" si="26"/>
        <v>72.259277059462221</v>
      </c>
      <c r="S92" s="235">
        <f t="shared" si="27"/>
        <v>11.238402234478263</v>
      </c>
      <c r="T92" s="236">
        <f t="shared" si="19"/>
        <v>-15.136966247352177</v>
      </c>
      <c r="U92" s="237">
        <f t="shared" si="20"/>
        <v>32.350176762501633</v>
      </c>
      <c r="V92" s="238">
        <f t="shared" si="21"/>
        <v>-72.259277059462221</v>
      </c>
      <c r="W92" s="238">
        <f t="shared" si="22"/>
        <v>-11.238402234478263</v>
      </c>
      <c r="X92" s="238"/>
      <c r="Y92" s="297"/>
    </row>
    <row r="93" spans="13:25" hidden="1">
      <c r="M93" s="304">
        <f t="shared" si="15"/>
        <v>24.625012629287696</v>
      </c>
      <c r="N93" s="305">
        <f t="shared" si="25"/>
        <v>24.625012629287696</v>
      </c>
      <c r="O93" s="306">
        <f t="shared" si="16"/>
        <v>0.42978754872625613</v>
      </c>
      <c r="P93" s="233">
        <f t="shared" si="17"/>
        <v>375.13474542435017</v>
      </c>
      <c r="Q93" s="234">
        <f t="shared" si="18"/>
        <v>327.65204406050043</v>
      </c>
      <c r="R93" s="234">
        <f t="shared" si="26"/>
        <v>72.241983157467132</v>
      </c>
      <c r="S93" s="235">
        <f t="shared" si="27"/>
        <v>11.255696136473349</v>
      </c>
      <c r="T93" s="236">
        <f t="shared" si="19"/>
        <v>-15.134745424350172</v>
      </c>
      <c r="U93" s="237">
        <f t="shared" si="20"/>
        <v>32.34795593949957</v>
      </c>
      <c r="V93" s="238">
        <f t="shared" si="21"/>
        <v>-72.241983157467132</v>
      </c>
      <c r="W93" s="238">
        <f t="shared" si="22"/>
        <v>-11.255696136473349</v>
      </c>
      <c r="X93" s="238"/>
      <c r="Y93" s="297"/>
    </row>
    <row r="94" spans="13:25" hidden="1">
      <c r="M94" s="304">
        <f t="shared" si="15"/>
        <v>24.30998729154636</v>
      </c>
      <c r="N94" s="305">
        <f t="shared" si="25"/>
        <v>24.30998729154636</v>
      </c>
      <c r="O94" s="306">
        <f t="shared" si="16"/>
        <v>0.42428931935546266</v>
      </c>
      <c r="P94" s="233">
        <f t="shared" si="17"/>
        <v>375.12776960525269</v>
      </c>
      <c r="Q94" s="234">
        <f t="shared" si="18"/>
        <v>327.65901987959791</v>
      </c>
      <c r="R94" s="234">
        <f t="shared" si="26"/>
        <v>72.221167111939209</v>
      </c>
      <c r="S94" s="235">
        <f t="shared" si="27"/>
        <v>11.276512182001278</v>
      </c>
      <c r="T94" s="236">
        <f t="shared" si="19"/>
        <v>-15.127769605252695</v>
      </c>
      <c r="U94" s="237">
        <f t="shared" si="20"/>
        <v>32.340980120402094</v>
      </c>
      <c r="V94" s="238">
        <f t="shared" si="21"/>
        <v>-72.221167111939209</v>
      </c>
      <c r="W94" s="238">
        <f t="shared" si="22"/>
        <v>-11.276512182001278</v>
      </c>
      <c r="X94" s="238"/>
      <c r="Y94" s="297"/>
    </row>
    <row r="95" spans="13:25" hidden="1">
      <c r="M95" s="304">
        <f t="shared" si="15"/>
        <v>23.994961953805024</v>
      </c>
      <c r="N95" s="305">
        <f t="shared" si="25"/>
        <v>23.994961953805024</v>
      </c>
      <c r="O95" s="306">
        <f t="shared" si="16"/>
        <v>0.41879108998466918</v>
      </c>
      <c r="P95" s="233">
        <f t="shared" si="17"/>
        <v>375.1160699933389</v>
      </c>
      <c r="Q95" s="234">
        <f t="shared" si="18"/>
        <v>327.67071949151165</v>
      </c>
      <c r="R95" s="234">
        <f t="shared" si="26"/>
        <v>72.196847428659396</v>
      </c>
      <c r="S95" s="235">
        <f t="shared" si="27"/>
        <v>11.300831865281104</v>
      </c>
      <c r="T95" s="236">
        <f t="shared" si="19"/>
        <v>-15.116069993338897</v>
      </c>
      <c r="U95" s="237">
        <f t="shared" si="20"/>
        <v>32.329280508488353</v>
      </c>
      <c r="V95" s="238">
        <f t="shared" si="21"/>
        <v>-72.196847428659396</v>
      </c>
      <c r="W95" s="238">
        <f t="shared" si="22"/>
        <v>-11.300831865281104</v>
      </c>
      <c r="X95" s="238"/>
      <c r="Y95" s="297"/>
    </row>
    <row r="96" spans="13:25" hidden="1">
      <c r="M96" s="304">
        <f t="shared" si="15"/>
        <v>23.679936616063689</v>
      </c>
      <c r="N96" s="305">
        <f t="shared" si="25"/>
        <v>23.679936616063689</v>
      </c>
      <c r="O96" s="306">
        <f t="shared" si="16"/>
        <v>0.41329286061387571</v>
      </c>
      <c r="P96" s="233">
        <f t="shared" si="17"/>
        <v>375.09967411715058</v>
      </c>
      <c r="Q96" s="234">
        <f t="shared" si="18"/>
        <v>327.68711536770002</v>
      </c>
      <c r="R96" s="234">
        <f t="shared" si="26"/>
        <v>72.169040789058101</v>
      </c>
      <c r="S96" s="235">
        <f t="shared" si="27"/>
        <v>11.328638504882393</v>
      </c>
      <c r="T96" s="236">
        <f t="shared" si="19"/>
        <v>-15.099674117150585</v>
      </c>
      <c r="U96" s="237">
        <f t="shared" si="20"/>
        <v>32.312884632299983</v>
      </c>
      <c r="V96" s="238">
        <f t="shared" si="21"/>
        <v>-72.169040789058101</v>
      </c>
      <c r="W96" s="238">
        <f t="shared" si="22"/>
        <v>-11.328638504882393</v>
      </c>
      <c r="X96" s="238"/>
      <c r="Y96" s="297"/>
    </row>
    <row r="97" spans="13:25" hidden="1">
      <c r="M97" s="304">
        <f t="shared" ref="M97:M112" si="28">IF(N97&gt;maxn,maxn,IF(N97&lt;mins,mins,N97))</f>
        <v>23.364911278322353</v>
      </c>
      <c r="N97" s="305">
        <f t="shared" si="25"/>
        <v>23.364911278322353</v>
      </c>
      <c r="O97" s="306">
        <f t="shared" ref="O97:O112" si="29">RADIANS(M97)</f>
        <v>0.40779463124308224</v>
      </c>
      <c r="P97" s="233">
        <f t="shared" ref="P97:P112" si="30">IFERROR(DEGREES(grt+ACOS((SIN(h)-SIN(d)*SIN(O97))/COS(d)/COS(O97))),#N/A)</f>
        <v>375.07860589217069</v>
      </c>
      <c r="Q97" s="234">
        <f t="shared" ref="Q97:Q112" si="31">IFERROR(DEGREES(grt-ACOS((SIN(h)-SIN(d)*SIN(O97))/COS(d)/COS(O97))),#N/A)</f>
        <v>327.70818359267986</v>
      </c>
      <c r="R97" s="234">
        <f t="shared" si="26"/>
        <v>72.137762073971359</v>
      </c>
      <c r="S97" s="235">
        <f t="shared" si="27"/>
        <v>11.359917219969136</v>
      </c>
      <c r="T97" s="236">
        <f t="shared" ref="T97:T112" si="32">IF(P97&lt;0,ABS(P97),IF(P97&gt;360,-(P97-360),IF(AND(P97&gt;180,P97&lt;360),ABS(360-P97),-P97)))</f>
        <v>-15.078605892170685</v>
      </c>
      <c r="U97" s="237">
        <f t="shared" ref="U97:U112" si="33">IF(Q97&lt;0,ABS(Q97),IF(Q97&gt;360,Q97-(Q97-360),IF(AND(Q97&gt;180,Q97&lt;360),ABS(360-Q97),-Q97)))</f>
        <v>32.291816407320141</v>
      </c>
      <c r="V97" s="238">
        <f t="shared" ref="V97:V112" si="34">IF(R97&lt;0,ABS(R97),IF(R97&gt;360,-(R97-360),IF(AND(R97&gt;180,R97&lt;360),ABS(360-R97),-R97)))</f>
        <v>-72.137762073971359</v>
      </c>
      <c r="W97" s="238">
        <f t="shared" ref="W97:W112" si="35">IF(S97&lt;0,ABS(S97),IF(S97&gt;360,-(S97-360),IF(AND(S97&gt;180,S97&lt;360),ABS(360-S97),-S97)))</f>
        <v>-11.359917219969136</v>
      </c>
      <c r="X97" s="238"/>
      <c r="Y97" s="297"/>
    </row>
    <row r="98" spans="13:25" hidden="1">
      <c r="M98" s="304">
        <f t="shared" si="28"/>
        <v>23.049885940581017</v>
      </c>
      <c r="N98" s="305">
        <f t="shared" si="25"/>
        <v>23.049885940581017</v>
      </c>
      <c r="O98" s="306">
        <f t="shared" si="29"/>
        <v>0.40229640187228882</v>
      </c>
      <c r="P98" s="233">
        <f t="shared" si="30"/>
        <v>375.05288567121346</v>
      </c>
      <c r="Q98" s="234">
        <f t="shared" si="31"/>
        <v>327.73390381363708</v>
      </c>
      <c r="R98" s="234">
        <f t="shared" si="26"/>
        <v>72.103024383984945</v>
      </c>
      <c r="S98" s="235">
        <f t="shared" si="27"/>
        <v>11.394654909955552</v>
      </c>
      <c r="T98" s="236">
        <f t="shared" si="32"/>
        <v>-15.05288567121346</v>
      </c>
      <c r="U98" s="237">
        <f t="shared" si="33"/>
        <v>32.266096186362915</v>
      </c>
      <c r="V98" s="238">
        <f t="shared" si="34"/>
        <v>-72.103024383984945</v>
      </c>
      <c r="W98" s="238">
        <f t="shared" si="35"/>
        <v>-11.394654909955552</v>
      </c>
      <c r="X98" s="238"/>
      <c r="Y98" s="297"/>
    </row>
    <row r="99" spans="13:25" hidden="1">
      <c r="M99" s="304">
        <f t="shared" si="28"/>
        <v>22.734860602839682</v>
      </c>
      <c r="N99" s="305">
        <f t="shared" si="25"/>
        <v>22.734860602839682</v>
      </c>
      <c r="O99" s="306">
        <f t="shared" si="29"/>
        <v>0.39679817250149535</v>
      </c>
      <c r="P99" s="233">
        <f t="shared" si="30"/>
        <v>375.02253028382034</v>
      </c>
      <c r="Q99" s="234">
        <f t="shared" si="31"/>
        <v>327.76425920103026</v>
      </c>
      <c r="R99" s="234">
        <f t="shared" si="26"/>
        <v>72.064839056433243</v>
      </c>
      <c r="S99" s="235">
        <f t="shared" si="27"/>
        <v>11.43284023750725</v>
      </c>
      <c r="T99" s="236">
        <f t="shared" si="32"/>
        <v>-15.022530283820345</v>
      </c>
      <c r="U99" s="237">
        <f t="shared" si="33"/>
        <v>32.235740798969744</v>
      </c>
      <c r="V99" s="238">
        <f t="shared" si="34"/>
        <v>-72.064839056433243</v>
      </c>
      <c r="W99" s="238">
        <f t="shared" si="35"/>
        <v>-11.43284023750725</v>
      </c>
      <c r="X99" s="238"/>
      <c r="Y99" s="297"/>
    </row>
    <row r="100" spans="13:25" hidden="1">
      <c r="M100" s="304">
        <f t="shared" si="28"/>
        <v>22.419835265098346</v>
      </c>
      <c r="N100" s="305">
        <f t="shared" si="25"/>
        <v>22.419835265098346</v>
      </c>
      <c r="O100" s="306">
        <f t="shared" si="29"/>
        <v>0.39129994313070188</v>
      </c>
      <c r="P100" s="233">
        <f t="shared" si="30"/>
        <v>374.98755306487698</v>
      </c>
      <c r="Q100" s="234">
        <f t="shared" si="31"/>
        <v>327.79923641997362</v>
      </c>
      <c r="R100" s="234">
        <f t="shared" si="26"/>
        <v>72.023215679107238</v>
      </c>
      <c r="S100" s="235">
        <f t="shared" si="27"/>
        <v>11.47446361483326</v>
      </c>
      <c r="T100" s="236">
        <f t="shared" si="32"/>
        <v>-14.987553064876977</v>
      </c>
      <c r="U100" s="237">
        <f t="shared" si="33"/>
        <v>32.200763580026376</v>
      </c>
      <c r="V100" s="238">
        <f t="shared" si="34"/>
        <v>-72.023215679107238</v>
      </c>
      <c r="W100" s="238">
        <f t="shared" si="35"/>
        <v>-11.47446361483326</v>
      </c>
      <c r="X100" s="238"/>
      <c r="Y100" s="297"/>
    </row>
    <row r="101" spans="13:25" hidden="1">
      <c r="M101" s="304">
        <f t="shared" si="28"/>
        <v>22.10480992735701</v>
      </c>
      <c r="N101" s="305">
        <f t="shared" si="25"/>
        <v>22.10480992735701</v>
      </c>
      <c r="O101" s="306">
        <f t="shared" si="29"/>
        <v>0.3858017137599084</v>
      </c>
      <c r="P101" s="233">
        <f t="shared" si="30"/>
        <v>374.94796387258845</v>
      </c>
      <c r="Q101" s="234">
        <f t="shared" si="31"/>
        <v>327.83882561226216</v>
      </c>
      <c r="R101" s="234">
        <f t="shared" si="26"/>
        <v>71.978162100709113</v>
      </c>
      <c r="S101" s="235">
        <f t="shared" si="27"/>
        <v>11.519517193231382</v>
      </c>
      <c r="T101" s="236">
        <f t="shared" si="32"/>
        <v>-14.947963872588446</v>
      </c>
      <c r="U101" s="237">
        <f t="shared" si="33"/>
        <v>32.161174387737844</v>
      </c>
      <c r="V101" s="238">
        <f t="shared" si="34"/>
        <v>-71.978162100709113</v>
      </c>
      <c r="W101" s="238">
        <f t="shared" si="35"/>
        <v>-11.519517193231382</v>
      </c>
      <c r="X101" s="238"/>
      <c r="Y101" s="297"/>
    </row>
    <row r="102" spans="13:25" hidden="1">
      <c r="M102" s="304">
        <f t="shared" si="28"/>
        <v>21.789784589615675</v>
      </c>
      <c r="N102" s="305">
        <f t="shared" si="25"/>
        <v>21.789784589615675</v>
      </c>
      <c r="O102" s="306">
        <f t="shared" si="29"/>
        <v>0.38030348438911493</v>
      </c>
      <c r="P102" s="233">
        <f t="shared" si="30"/>
        <v>374.90376909587087</v>
      </c>
      <c r="Q102" s="234">
        <f t="shared" si="31"/>
        <v>327.88302038897967</v>
      </c>
      <c r="R102" s="234">
        <f t="shared" si="26"/>
        <v>71.929684438079065</v>
      </c>
      <c r="S102" s="235">
        <f t="shared" si="27"/>
        <v>11.56799485586142</v>
      </c>
      <c r="T102" s="236">
        <f t="shared" si="32"/>
        <v>-14.903769095870871</v>
      </c>
      <c r="U102" s="237">
        <f t="shared" si="33"/>
        <v>32.116979611020327</v>
      </c>
      <c r="V102" s="238">
        <f t="shared" si="34"/>
        <v>-71.929684438079065</v>
      </c>
      <c r="W102" s="238">
        <f t="shared" si="35"/>
        <v>-11.56799485586142</v>
      </c>
      <c r="X102" s="238"/>
      <c r="Y102" s="297"/>
    </row>
    <row r="103" spans="13:25" hidden="1">
      <c r="M103" s="304">
        <f t="shared" si="28"/>
        <v>21.474759251874339</v>
      </c>
      <c r="N103" s="305">
        <f t="shared" si="25"/>
        <v>21.474759251874339</v>
      </c>
      <c r="O103" s="306">
        <f t="shared" si="29"/>
        <v>0.37480525501832146</v>
      </c>
      <c r="P103" s="233">
        <f t="shared" si="30"/>
        <v>374.85497165114265</v>
      </c>
      <c r="Q103" s="234">
        <f t="shared" si="31"/>
        <v>327.9318178337079</v>
      </c>
      <c r="R103" s="234">
        <f t="shared" si="26"/>
        <v>71.877787080203987</v>
      </c>
      <c r="S103" s="235">
        <f t="shared" si="27"/>
        <v>11.61989221373652</v>
      </c>
      <c r="T103" s="236">
        <f t="shared" si="32"/>
        <v>-14.854971651142648</v>
      </c>
      <c r="U103" s="237">
        <f t="shared" si="33"/>
        <v>32.068182166292104</v>
      </c>
      <c r="V103" s="238">
        <f t="shared" si="34"/>
        <v>-71.877787080203987</v>
      </c>
      <c r="W103" s="238">
        <f t="shared" si="35"/>
        <v>-11.61989221373652</v>
      </c>
      <c r="X103" s="238"/>
      <c r="Y103" s="297"/>
    </row>
    <row r="104" spans="13:25" hidden="1">
      <c r="M104" s="304">
        <f t="shared" si="28"/>
        <v>21.159733914133003</v>
      </c>
      <c r="N104" s="305">
        <f t="shared" si="25"/>
        <v>21.159733914133003</v>
      </c>
      <c r="O104" s="306">
        <f t="shared" si="29"/>
        <v>0.36930702564752799</v>
      </c>
      <c r="P104" s="233">
        <f t="shared" si="30"/>
        <v>374.80157096842146</v>
      </c>
      <c r="Q104" s="234">
        <f t="shared" si="31"/>
        <v>327.98521851642914</v>
      </c>
      <c r="R104" s="234">
        <f t="shared" ref="R104:R135" si="36">IFERROR(DEGREES(grt_+ACOS((SIN(h_)-SIN(d_)*SIN(O104))/COS(d_)/COS(O104))),#N/A)</f>
        <v>71.822472689005153</v>
      </c>
      <c r="S104" s="235">
        <f t="shared" ref="S104:S135" si="37">IFERROR(DEGREES(grt_-ACOS((SIN(h_)-SIN(d_)*SIN(O104))/COS(d_)/COS(O104))),#N/A)</f>
        <v>11.675206604935349</v>
      </c>
      <c r="T104" s="236">
        <f t="shared" si="32"/>
        <v>-14.801570968421458</v>
      </c>
      <c r="U104" s="237">
        <f t="shared" si="33"/>
        <v>32.014781483570857</v>
      </c>
      <c r="V104" s="238">
        <f t="shared" si="34"/>
        <v>-71.822472689005153</v>
      </c>
      <c r="W104" s="238">
        <f t="shared" si="35"/>
        <v>-11.675206604935349</v>
      </c>
      <c r="X104" s="238"/>
      <c r="Y104" s="297"/>
    </row>
    <row r="105" spans="13:25" hidden="1">
      <c r="M105" s="304">
        <f t="shared" si="28"/>
        <v>20.844708576391668</v>
      </c>
      <c r="N105" s="305">
        <f t="shared" si="25"/>
        <v>20.844708576391668</v>
      </c>
      <c r="O105" s="306">
        <f t="shared" si="29"/>
        <v>0.36380879627673457</v>
      </c>
      <c r="P105" s="233">
        <f t="shared" si="30"/>
        <v>374.74356296655264</v>
      </c>
      <c r="Q105" s="234">
        <f t="shared" si="31"/>
        <v>328.04322651829796</v>
      </c>
      <c r="R105" s="234">
        <f t="shared" si="36"/>
        <v>71.763742196887023</v>
      </c>
      <c r="S105" s="235">
        <f t="shared" si="37"/>
        <v>11.733937097053465</v>
      </c>
      <c r="T105" s="236">
        <f t="shared" si="32"/>
        <v>-14.743562966552645</v>
      </c>
      <c r="U105" s="237">
        <f t="shared" si="33"/>
        <v>31.956773481702044</v>
      </c>
      <c r="V105" s="238">
        <f t="shared" si="34"/>
        <v>-71.763742196887023</v>
      </c>
      <c r="W105" s="238">
        <f t="shared" si="35"/>
        <v>-11.733937097053465</v>
      </c>
      <c r="X105" s="238"/>
      <c r="Y105" s="297"/>
    </row>
    <row r="106" spans="13:25" hidden="1">
      <c r="M106" s="304">
        <f t="shared" si="28"/>
        <v>20.529683238650332</v>
      </c>
      <c r="N106" s="305">
        <f t="shared" si="25"/>
        <v>20.529683238650332</v>
      </c>
      <c r="O106" s="306">
        <f t="shared" si="29"/>
        <v>0.3583105669059411</v>
      </c>
      <c r="P106" s="233">
        <f t="shared" si="30"/>
        <v>374.68094001731492</v>
      </c>
      <c r="Q106" s="234">
        <f t="shared" si="31"/>
        <v>328.10584946753562</v>
      </c>
      <c r="R106" s="234">
        <f t="shared" si="36"/>
        <v>71.70159480101492</v>
      </c>
      <c r="S106" s="235">
        <f t="shared" si="37"/>
        <v>11.796084492925567</v>
      </c>
      <c r="T106" s="236">
        <f t="shared" si="32"/>
        <v>-14.680940017314924</v>
      </c>
      <c r="U106" s="237">
        <f t="shared" si="33"/>
        <v>31.89415053246438</v>
      </c>
      <c r="V106" s="238">
        <f t="shared" si="34"/>
        <v>-71.70159480101492</v>
      </c>
      <c r="W106" s="238">
        <f t="shared" si="35"/>
        <v>-11.796084492925567</v>
      </c>
      <c r="X106" s="238"/>
      <c r="Y106" s="297"/>
    </row>
    <row r="107" spans="13:25" hidden="1">
      <c r="M107" s="304">
        <f t="shared" si="28"/>
        <v>20.214657900908996</v>
      </c>
      <c r="N107" s="305">
        <f t="shared" si="25"/>
        <v>20.214657900908996</v>
      </c>
      <c r="O107" s="306">
        <f t="shared" si="29"/>
        <v>0.35281233753514762</v>
      </c>
      <c r="P107" s="233">
        <f t="shared" si="30"/>
        <v>374.61369089806266</v>
      </c>
      <c r="Q107" s="234">
        <f t="shared" si="31"/>
        <v>328.17309858678789</v>
      </c>
      <c r="R107" s="234">
        <f t="shared" si="36"/>
        <v>71.636027954275221</v>
      </c>
      <c r="S107" s="235">
        <f t="shared" si="37"/>
        <v>11.861651339665285</v>
      </c>
      <c r="T107" s="236">
        <f t="shared" si="32"/>
        <v>-14.613690898062657</v>
      </c>
      <c r="U107" s="237">
        <f t="shared" si="33"/>
        <v>31.826901413212113</v>
      </c>
      <c r="V107" s="238">
        <f t="shared" si="34"/>
        <v>-71.636027954275221</v>
      </c>
      <c r="W107" s="238">
        <f t="shared" si="35"/>
        <v>-11.861651339665285</v>
      </c>
      <c r="X107" s="238"/>
      <c r="Y107" s="297"/>
    </row>
    <row r="108" spans="13:25" hidden="1">
      <c r="M108" s="304">
        <f t="shared" si="28"/>
        <v>19.89963256316766</v>
      </c>
      <c r="N108" s="305">
        <f t="shared" si="25"/>
        <v>19.89963256316766</v>
      </c>
      <c r="O108" s="306">
        <f t="shared" si="29"/>
        <v>0.34731410816435415</v>
      </c>
      <c r="P108" s="233">
        <f t="shared" si="30"/>
        <v>374.54180073247312</v>
      </c>
      <c r="Q108" s="234">
        <f t="shared" si="31"/>
        <v>328.24498875237748</v>
      </c>
      <c r="R108" s="234">
        <f t="shared" si="36"/>
        <v>71.567037352855692</v>
      </c>
      <c r="S108" s="235">
        <f t="shared" si="37"/>
        <v>11.930641941084813</v>
      </c>
      <c r="T108" s="236">
        <f t="shared" si="32"/>
        <v>-14.541800732473121</v>
      </c>
      <c r="U108" s="237">
        <f t="shared" si="33"/>
        <v>31.755011247622519</v>
      </c>
      <c r="V108" s="238">
        <f t="shared" si="34"/>
        <v>-71.567037352855692</v>
      </c>
      <c r="W108" s="238">
        <f t="shared" si="35"/>
        <v>-11.930641941084813</v>
      </c>
      <c r="X108" s="238"/>
      <c r="Y108" s="297"/>
    </row>
    <row r="109" spans="13:25" hidden="1">
      <c r="M109" s="304">
        <f t="shared" si="28"/>
        <v>19.584607225426325</v>
      </c>
      <c r="N109" s="305">
        <f t="shared" si="25"/>
        <v>19.584607225426325</v>
      </c>
      <c r="O109" s="306">
        <f t="shared" si="29"/>
        <v>0.34181587879356068</v>
      </c>
      <c r="P109" s="233">
        <f t="shared" si="30"/>
        <v>374.46525091887247</v>
      </c>
      <c r="Q109" s="234">
        <f t="shared" si="31"/>
        <v>328.32153856597807</v>
      </c>
      <c r="R109" s="234">
        <f t="shared" si="36"/>
        <v>71.494616920368955</v>
      </c>
      <c r="S109" s="235">
        <f t="shared" si="37"/>
        <v>12.003062373571547</v>
      </c>
      <c r="T109" s="236">
        <f t="shared" si="32"/>
        <v>-14.465250918872471</v>
      </c>
      <c r="U109" s="237">
        <f t="shared" si="33"/>
        <v>31.678461434021926</v>
      </c>
      <c r="V109" s="238">
        <f t="shared" si="34"/>
        <v>-71.494616920368955</v>
      </c>
      <c r="W109" s="238">
        <f t="shared" si="35"/>
        <v>-12.003062373571547</v>
      </c>
      <c r="X109" s="238"/>
      <c r="Y109" s="297"/>
    </row>
    <row r="110" spans="13:25" hidden="1">
      <c r="M110" s="304">
        <f t="shared" si="28"/>
        <v>19.269581887684989</v>
      </c>
      <c r="N110" s="305">
        <f t="shared" si="25"/>
        <v>19.269581887684989</v>
      </c>
      <c r="O110" s="306">
        <f t="shared" si="29"/>
        <v>0.33631764942276721</v>
      </c>
      <c r="P110" s="233">
        <f t="shared" si="30"/>
        <v>374.38401904550631</v>
      </c>
      <c r="Q110" s="234">
        <f t="shared" si="31"/>
        <v>328.40277043934424</v>
      </c>
      <c r="R110" s="234">
        <f t="shared" si="36"/>
        <v>71.418758788424043</v>
      </c>
      <c r="S110" s="235">
        <f t="shared" si="37"/>
        <v>12.078920505516455</v>
      </c>
      <c r="T110" s="236">
        <f t="shared" si="32"/>
        <v>-14.384019045506307</v>
      </c>
      <c r="U110" s="237">
        <f t="shared" si="33"/>
        <v>31.597229560655762</v>
      </c>
      <c r="V110" s="238">
        <f t="shared" si="34"/>
        <v>-71.418758788424043</v>
      </c>
      <c r="W110" s="238">
        <f t="shared" si="35"/>
        <v>-12.078920505516455</v>
      </c>
      <c r="X110" s="238"/>
      <c r="Y110" s="297"/>
    </row>
    <row r="111" spans="13:25" hidden="1">
      <c r="M111" s="304">
        <f t="shared" si="28"/>
        <v>18.954556549943653</v>
      </c>
      <c r="N111" s="305">
        <f t="shared" si="25"/>
        <v>18.954556549943653</v>
      </c>
      <c r="O111" s="306">
        <f t="shared" si="29"/>
        <v>0.33081942005197379</v>
      </c>
      <c r="P111" s="233">
        <f t="shared" si="30"/>
        <v>374.29807879200871</v>
      </c>
      <c r="Q111" s="234">
        <f t="shared" si="31"/>
        <v>328.48871069284189</v>
      </c>
      <c r="R111" s="234">
        <f t="shared" si="36"/>
        <v>71.339453273535383</v>
      </c>
      <c r="S111" s="235">
        <f t="shared" si="37"/>
        <v>12.158226020405111</v>
      </c>
      <c r="T111" s="236">
        <f t="shared" si="32"/>
        <v>-14.29807879200871</v>
      </c>
      <c r="U111" s="237">
        <f t="shared" si="33"/>
        <v>31.511289307158108</v>
      </c>
      <c r="V111" s="238">
        <f t="shared" si="34"/>
        <v>-71.339453273535383</v>
      </c>
      <c r="W111" s="238">
        <f t="shared" si="35"/>
        <v>-12.158226020405111</v>
      </c>
      <c r="X111" s="238"/>
      <c r="Y111" s="297"/>
    </row>
    <row r="112" spans="13:25" hidden="1">
      <c r="M112" s="304">
        <f t="shared" si="28"/>
        <v>18.639531212202318</v>
      </c>
      <c r="N112" s="305">
        <f t="shared" si="25"/>
        <v>18.639531212202318</v>
      </c>
      <c r="O112" s="306">
        <f t="shared" si="29"/>
        <v>0.32532119068118032</v>
      </c>
      <c r="P112" s="233">
        <f t="shared" si="30"/>
        <v>374.20739981619698</v>
      </c>
      <c r="Q112" s="234">
        <f t="shared" si="31"/>
        <v>328.57938966865356</v>
      </c>
      <c r="R112" s="234">
        <f t="shared" si="36"/>
        <v>71.25668885023876</v>
      </c>
      <c r="S112" s="235">
        <f t="shared" si="37"/>
        <v>12.240990443701733</v>
      </c>
      <c r="T112" s="236">
        <f t="shared" si="32"/>
        <v>-14.207399816196983</v>
      </c>
      <c r="U112" s="237">
        <f t="shared" si="33"/>
        <v>31.420610331346438</v>
      </c>
      <c r="V112" s="238">
        <f t="shared" si="34"/>
        <v>-71.25668885023876</v>
      </c>
      <c r="W112" s="238">
        <f t="shared" si="35"/>
        <v>-12.240990443701733</v>
      </c>
      <c r="X112" s="238"/>
      <c r="Y112" s="297"/>
    </row>
    <row r="113" spans="13:25" hidden="1">
      <c r="M113" s="304">
        <f t="shared" ref="M113:M176" si="38">IF(N113&gt;maxn,maxn,IF(N113&lt;mins,mins,N113))</f>
        <v>18.324505874460982</v>
      </c>
      <c r="N113" s="305">
        <f t="shared" si="25"/>
        <v>18.324505874460982</v>
      </c>
      <c r="O113" s="306">
        <f t="shared" ref="O113:O176" si="39">RADIANS(M113)</f>
        <v>0.31982296131038684</v>
      </c>
      <c r="P113" s="233">
        <f t="shared" ref="P113:P176" si="40">IFERROR(DEGREES(grt+ACOS((SIN(h)-SIN(d)*SIN(O113))/COS(d)/COS(O113))),#N/A)</f>
        <v>374.11194762518011</v>
      </c>
      <c r="Q113" s="234">
        <f t="shared" ref="Q113:Q176" si="41">IFERROR(DEGREES(grt-ACOS((SIN(h)-SIN(d)*SIN(O113))/COS(d)/COS(O113))),#N/A)</f>
        <v>328.67484185967049</v>
      </c>
      <c r="R113" s="234">
        <f t="shared" si="36"/>
        <v>71.170452120264699</v>
      </c>
      <c r="S113" s="235">
        <f t="shared" si="37"/>
        <v>12.327227173675809</v>
      </c>
      <c r="T113" s="236">
        <f t="shared" ref="T113:T176" si="42">IF(P113&lt;0,ABS(P113),IF(P113&gt;360,-(P113-360),IF(AND(P113&gt;180,P113&lt;360),ABS(360-P113),-P113)))</f>
        <v>-14.111947625180107</v>
      </c>
      <c r="U113" s="237">
        <f t="shared" ref="U113:U176" si="43">IF(Q113&lt;0,ABS(Q113),IF(Q113&gt;360,Q113-(Q113-360),IF(AND(Q113&gt;180,Q113&lt;360),ABS(360-Q113),-Q113)))</f>
        <v>31.325158140329506</v>
      </c>
      <c r="V113" s="238">
        <f t="shared" ref="V113:V176" si="44">IF(R113&lt;0,ABS(R113),IF(R113&gt;360,-(R113-360),IF(AND(R113&gt;180,R113&lt;360),ABS(360-R113),-R113)))</f>
        <v>-71.170452120264699</v>
      </c>
      <c r="W113" s="238">
        <f t="shared" ref="W113:W176" si="45">IF(S113&lt;0,ABS(S113),IF(S113&gt;360,-(S113-360),IF(AND(S113&gt;180,S113&lt;360),ABS(360-S113),-S113)))</f>
        <v>-12.327227173675809</v>
      </c>
      <c r="X113" s="238"/>
      <c r="Y113" s="297"/>
    </row>
    <row r="114" spans="13:25" hidden="1">
      <c r="M114" s="304">
        <f t="shared" si="38"/>
        <v>18.009480536719646</v>
      </c>
      <c r="N114" s="305">
        <f t="shared" si="25"/>
        <v>18.009480536719646</v>
      </c>
      <c r="O114" s="306">
        <f t="shared" si="39"/>
        <v>0.31432473193959337</v>
      </c>
      <c r="P114" s="233">
        <f t="shared" si="40"/>
        <v>374.01168342961358</v>
      </c>
      <c r="Q114" s="234">
        <f t="shared" si="41"/>
        <v>328.77510605523696</v>
      </c>
      <c r="R114" s="234">
        <f t="shared" si="36"/>
        <v>71.080727777599165</v>
      </c>
      <c r="S114" s="235">
        <f t="shared" si="37"/>
        <v>12.416951516341324</v>
      </c>
      <c r="T114" s="236">
        <f t="shared" si="42"/>
        <v>-14.011683429613583</v>
      </c>
      <c r="U114" s="237">
        <f t="shared" si="43"/>
        <v>31.224893944763039</v>
      </c>
      <c r="V114" s="238">
        <f t="shared" si="44"/>
        <v>-71.080727777599165</v>
      </c>
      <c r="W114" s="238">
        <f t="shared" si="45"/>
        <v>-12.416951516341324</v>
      </c>
      <c r="X114" s="238"/>
      <c r="Y114" s="297"/>
    </row>
    <row r="115" spans="13:25" hidden="1">
      <c r="M115" s="304">
        <f t="shared" si="38"/>
        <v>17.694455198978311</v>
      </c>
      <c r="N115" s="305">
        <f t="shared" si="25"/>
        <v>17.694455198978311</v>
      </c>
      <c r="O115" s="306">
        <f t="shared" si="39"/>
        <v>0.3088265025687999</v>
      </c>
      <c r="P115" s="233">
        <f t="shared" si="40"/>
        <v>373.90656397975948</v>
      </c>
      <c r="Q115" s="234">
        <f t="shared" si="41"/>
        <v>328.88022550509106</v>
      </c>
      <c r="R115" s="234">
        <f t="shared" si="36"/>
        <v>70.987498569238085</v>
      </c>
      <c r="S115" s="235">
        <f t="shared" si="37"/>
        <v>12.510180724702415</v>
      </c>
      <c r="T115" s="236">
        <f t="shared" si="42"/>
        <v>-13.906563979759483</v>
      </c>
      <c r="U115" s="237">
        <f t="shared" si="43"/>
        <v>31.119774494908938</v>
      </c>
      <c r="V115" s="238">
        <f t="shared" si="44"/>
        <v>-70.987498569238085</v>
      </c>
      <c r="W115" s="238">
        <f t="shared" si="45"/>
        <v>-12.510180724702415</v>
      </c>
      <c r="X115" s="238"/>
      <c r="Y115" s="297"/>
    </row>
    <row r="116" spans="13:25" hidden="1">
      <c r="M116" s="304">
        <f t="shared" si="38"/>
        <v>17.379429861236975</v>
      </c>
      <c r="N116" s="305">
        <f t="shared" si="25"/>
        <v>17.379429861236975</v>
      </c>
      <c r="O116" s="306">
        <f t="shared" si="39"/>
        <v>0.30332827319800643</v>
      </c>
      <c r="P116" s="233">
        <f t="shared" si="40"/>
        <v>373.79654138181212</v>
      </c>
      <c r="Q116" s="234">
        <f t="shared" si="41"/>
        <v>328.99024810303843</v>
      </c>
      <c r="R116" s="234">
        <f t="shared" si="36"/>
        <v>70.89074525141784</v>
      </c>
      <c r="S116" s="235">
        <f t="shared" si="37"/>
        <v>12.606934042522642</v>
      </c>
      <c r="T116" s="236">
        <f t="shared" si="42"/>
        <v>-13.796541381812119</v>
      </c>
      <c r="U116" s="237">
        <f t="shared" si="43"/>
        <v>31.009751896961575</v>
      </c>
      <c r="V116" s="238">
        <f t="shared" si="44"/>
        <v>-70.89074525141784</v>
      </c>
      <c r="W116" s="238">
        <f t="shared" si="45"/>
        <v>-12.606934042522642</v>
      </c>
      <c r="X116" s="238"/>
      <c r="Y116" s="297"/>
    </row>
    <row r="117" spans="13:25" hidden="1">
      <c r="M117" s="304">
        <f t="shared" si="38"/>
        <v>17.064404523495639</v>
      </c>
      <c r="N117" s="305">
        <f t="shared" si="25"/>
        <v>17.064404523495639</v>
      </c>
      <c r="O117" s="306">
        <f t="shared" si="39"/>
        <v>0.29783004382721295</v>
      </c>
      <c r="P117" s="233">
        <f t="shared" si="40"/>
        <v>373.68156289273014</v>
      </c>
      <c r="Q117" s="234">
        <f t="shared" si="41"/>
        <v>329.10522659212046</v>
      </c>
      <c r="R117" s="234">
        <f t="shared" si="36"/>
        <v>70.79044654107831</v>
      </c>
      <c r="S117" s="235">
        <f t="shared" si="37"/>
        <v>12.707232752862179</v>
      </c>
      <c r="T117" s="236">
        <f t="shared" si="42"/>
        <v>-13.681562892730142</v>
      </c>
      <c r="U117" s="237">
        <f t="shared" si="43"/>
        <v>30.894773407879541</v>
      </c>
      <c r="V117" s="238">
        <f t="shared" si="44"/>
        <v>-70.79044654107831</v>
      </c>
      <c r="W117" s="238">
        <f t="shared" si="45"/>
        <v>-12.707232752862179</v>
      </c>
      <c r="X117" s="238"/>
      <c r="Y117" s="297"/>
    </row>
    <row r="118" spans="13:25" hidden="1">
      <c r="M118" s="304">
        <f t="shared" si="38"/>
        <v>16.749379185754304</v>
      </c>
      <c r="N118" s="305">
        <f t="shared" si="25"/>
        <v>16.749379185754304</v>
      </c>
      <c r="O118" s="306">
        <f t="shared" si="39"/>
        <v>0.29233181445641954</v>
      </c>
      <c r="P118" s="233">
        <f t="shared" si="40"/>
        <v>373.56157069155699</v>
      </c>
      <c r="Q118" s="234">
        <f t="shared" si="41"/>
        <v>329.22521879329361</v>
      </c>
      <c r="R118" s="234">
        <f t="shared" si="36"/>
        <v>70.686579062284466</v>
      </c>
      <c r="S118" s="235">
        <f t="shared" si="37"/>
        <v>12.81110023165604</v>
      </c>
      <c r="T118" s="236">
        <f t="shared" si="42"/>
        <v>-13.561570691556994</v>
      </c>
      <c r="U118" s="237">
        <f t="shared" si="43"/>
        <v>30.774781206706393</v>
      </c>
      <c r="V118" s="238">
        <f t="shared" si="44"/>
        <v>-70.686579062284466</v>
      </c>
      <c r="W118" s="238">
        <f t="shared" si="45"/>
        <v>-12.81110023165604</v>
      </c>
      <c r="X118" s="238"/>
      <c r="Y118" s="297"/>
    </row>
    <row r="119" spans="13:25" hidden="1">
      <c r="M119" s="304">
        <f t="shared" si="38"/>
        <v>16.434353848012968</v>
      </c>
      <c r="N119" s="305">
        <f t="shared" si="25"/>
        <v>16.434353848012968</v>
      </c>
      <c r="O119" s="306">
        <f t="shared" si="39"/>
        <v>0.28683358508562606</v>
      </c>
      <c r="P119" s="233">
        <f t="shared" si="40"/>
        <v>373.43650162492537</v>
      </c>
      <c r="Q119" s="234">
        <f t="shared" si="41"/>
        <v>329.35028785992523</v>
      </c>
      <c r="R119" s="234">
        <f t="shared" si="36"/>
        <v>70.579117287301855</v>
      </c>
      <c r="S119" s="235">
        <f t="shared" si="37"/>
        <v>12.918562006638638</v>
      </c>
      <c r="T119" s="236">
        <f t="shared" si="42"/>
        <v>-13.43650162492537</v>
      </c>
      <c r="U119" s="237">
        <f t="shared" si="43"/>
        <v>30.649712140074769</v>
      </c>
      <c r="V119" s="238">
        <f t="shared" si="44"/>
        <v>-70.579117287301855</v>
      </c>
      <c r="W119" s="238">
        <f t="shared" si="45"/>
        <v>-12.918562006638638</v>
      </c>
      <c r="X119" s="238"/>
      <c r="Y119" s="297"/>
    </row>
    <row r="120" spans="13:25" hidden="1">
      <c r="M120" s="304">
        <f t="shared" si="38"/>
        <v>16.119328510271632</v>
      </c>
      <c r="N120" s="305">
        <f t="shared" si="25"/>
        <v>16.119328510271632</v>
      </c>
      <c r="O120" s="306">
        <f t="shared" si="39"/>
        <v>0.28133535571483259</v>
      </c>
      <c r="P120" s="233">
        <f t="shared" si="40"/>
        <v>373.30628692410369</v>
      </c>
      <c r="Q120" s="234">
        <f t="shared" si="41"/>
        <v>329.48050256074686</v>
      </c>
      <c r="R120" s="234">
        <f t="shared" si="36"/>
        <v>70.468033471986786</v>
      </c>
      <c r="S120" s="235">
        <f t="shared" si="37"/>
        <v>13.029645821953716</v>
      </c>
      <c r="T120" s="236">
        <f t="shared" si="42"/>
        <v>-13.306286924103688</v>
      </c>
      <c r="U120" s="237">
        <f t="shared" si="43"/>
        <v>30.519497439253144</v>
      </c>
      <c r="V120" s="238">
        <f t="shared" si="44"/>
        <v>-70.468033471986786</v>
      </c>
      <c r="W120" s="238">
        <f t="shared" si="45"/>
        <v>-13.029645821953716</v>
      </c>
      <c r="X120" s="238"/>
      <c r="Y120" s="297"/>
    </row>
    <row r="121" spans="13:25" hidden="1">
      <c r="M121" s="304">
        <f t="shared" si="38"/>
        <v>15.804303172530295</v>
      </c>
      <c r="N121" s="305">
        <f t="shared" si="25"/>
        <v>15.804303172530295</v>
      </c>
      <c r="O121" s="306">
        <f t="shared" si="39"/>
        <v>0.27583712634403906</v>
      </c>
      <c r="P121" s="233">
        <f t="shared" si="40"/>
        <v>373.17085189055848</v>
      </c>
      <c r="Q121" s="234">
        <f t="shared" si="41"/>
        <v>329.61593759429206</v>
      </c>
      <c r="R121" s="234">
        <f t="shared" si="36"/>
        <v>70.35329758511179</v>
      </c>
      <c r="S121" s="235">
        <f t="shared" si="37"/>
        <v>13.144381708828694</v>
      </c>
      <c r="T121" s="236">
        <f t="shared" si="42"/>
        <v>-13.170851890558481</v>
      </c>
      <c r="U121" s="237">
        <f t="shared" si="43"/>
        <v>30.384062405707937</v>
      </c>
      <c r="V121" s="238">
        <f t="shared" si="44"/>
        <v>-70.35329758511179</v>
      </c>
      <c r="W121" s="238">
        <f t="shared" si="45"/>
        <v>-13.144381708828694</v>
      </c>
      <c r="X121" s="238"/>
      <c r="Y121" s="297"/>
    </row>
    <row r="122" spans="13:25" hidden="1">
      <c r="M122" s="304">
        <f t="shared" si="38"/>
        <v>15.489277834788957</v>
      </c>
      <c r="N122" s="305">
        <f t="shared" si="25"/>
        <v>15.489277834788957</v>
      </c>
      <c r="O122" s="306">
        <f t="shared" si="39"/>
        <v>0.27033889697324559</v>
      </c>
      <c r="P122" s="233">
        <f t="shared" si="40"/>
        <v>373.03011554655916</v>
      </c>
      <c r="Q122" s="234">
        <f t="shared" si="41"/>
        <v>329.75667393829139</v>
      </c>
      <c r="R122" s="234">
        <f t="shared" si="36"/>
        <v>70.234877231207278</v>
      </c>
      <c r="S122" s="235">
        <f t="shared" si="37"/>
        <v>13.262802062733229</v>
      </c>
      <c r="T122" s="236">
        <f t="shared" si="42"/>
        <v>-13.030115546559159</v>
      </c>
      <c r="U122" s="237">
        <f t="shared" si="43"/>
        <v>30.243326061708615</v>
      </c>
      <c r="V122" s="238">
        <f t="shared" si="44"/>
        <v>-70.234877231207278</v>
      </c>
      <c r="W122" s="238">
        <f t="shared" si="45"/>
        <v>-13.262802062733229</v>
      </c>
      <c r="X122" s="238"/>
      <c r="Y122" s="297"/>
    </row>
    <row r="123" spans="13:25" hidden="1">
      <c r="M123" s="304">
        <f t="shared" si="38"/>
        <v>15.17425249704762</v>
      </c>
      <c r="N123" s="305">
        <f t="shared" si="25"/>
        <v>15.17425249704762</v>
      </c>
      <c r="O123" s="306">
        <f t="shared" si="39"/>
        <v>0.26484066760245212</v>
      </c>
      <c r="P123" s="233">
        <f t="shared" si="40"/>
        <v>372.88399024683201</v>
      </c>
      <c r="Q123" s="234">
        <f t="shared" si="41"/>
        <v>329.90279923801853</v>
      </c>
      <c r="R123" s="234">
        <f t="shared" si="36"/>
        <v>70.112737566450505</v>
      </c>
      <c r="S123" s="235">
        <f t="shared" si="37"/>
        <v>13.384941727489998</v>
      </c>
      <c r="T123" s="236">
        <f t="shared" si="42"/>
        <v>-12.883990246832013</v>
      </c>
      <c r="U123" s="237">
        <f t="shared" si="43"/>
        <v>30.097200761981469</v>
      </c>
      <c r="V123" s="238">
        <f t="shared" si="44"/>
        <v>-70.112737566450505</v>
      </c>
      <c r="W123" s="238">
        <f t="shared" si="45"/>
        <v>-13.384941727489998</v>
      </c>
      <c r="X123" s="238"/>
      <c r="Y123" s="297"/>
    </row>
    <row r="124" spans="13:25" hidden="1">
      <c r="M124" s="304">
        <f t="shared" si="38"/>
        <v>14.859227159306283</v>
      </c>
      <c r="N124" s="305">
        <f t="shared" si="25"/>
        <v>14.859227159306283</v>
      </c>
      <c r="O124" s="306">
        <f t="shared" si="39"/>
        <v>0.25934243823165859</v>
      </c>
      <c r="P124" s="233">
        <f t="shared" si="40"/>
        <v>372.7323812466629</v>
      </c>
      <c r="Q124" s="234">
        <f t="shared" si="41"/>
        <v>330.05440823818765</v>
      </c>
      <c r="R124" s="234">
        <f t="shared" si="36"/>
        <v>69.986841207082733</v>
      </c>
      <c r="S124" s="235">
        <f t="shared" si="37"/>
        <v>13.510838086857754</v>
      </c>
      <c r="T124" s="236">
        <f t="shared" si="42"/>
        <v>-12.732381246662897</v>
      </c>
      <c r="U124" s="237">
        <f t="shared" si="43"/>
        <v>29.945591761812352</v>
      </c>
      <c r="V124" s="238">
        <f t="shared" si="44"/>
        <v>-69.986841207082733</v>
      </c>
      <c r="W124" s="238">
        <f t="shared" si="45"/>
        <v>-13.510838086857754</v>
      </c>
      <c r="X124" s="238"/>
      <c r="Y124" s="297"/>
    </row>
    <row r="125" spans="13:25" hidden="1">
      <c r="M125" s="304">
        <f t="shared" si="38"/>
        <v>14.544201821564945</v>
      </c>
      <c r="N125" s="305">
        <f t="shared" si="25"/>
        <v>14.544201821564945</v>
      </c>
      <c r="O125" s="306">
        <f t="shared" si="39"/>
        <v>0.25384420886086512</v>
      </c>
      <c r="P125" s="233">
        <f t="shared" si="40"/>
        <v>372.57518622113616</v>
      </c>
      <c r="Q125" s="234">
        <f t="shared" si="41"/>
        <v>330.21160326371444</v>
      </c>
      <c r="R125" s="234">
        <f t="shared" si="36"/>
        <v>69.857148129776178</v>
      </c>
      <c r="S125" s="235">
        <f t="shared" si="37"/>
        <v>13.640531164164328</v>
      </c>
      <c r="T125" s="236">
        <f t="shared" si="42"/>
        <v>-12.575186221136164</v>
      </c>
      <c r="U125" s="237">
        <f t="shared" si="43"/>
        <v>29.788396736285563</v>
      </c>
      <c r="V125" s="238">
        <f t="shared" si="44"/>
        <v>-69.857148129776178</v>
      </c>
      <c r="W125" s="238">
        <f t="shared" si="45"/>
        <v>-13.640531164164328</v>
      </c>
      <c r="X125" s="238"/>
      <c r="Y125" s="297"/>
    </row>
    <row r="126" spans="13:25" hidden="1">
      <c r="M126" s="304">
        <f t="shared" si="38"/>
        <v>14.229176483823608</v>
      </c>
      <c r="N126" s="305">
        <f t="shared" si="25"/>
        <v>14.229176483823608</v>
      </c>
      <c r="O126" s="306">
        <f t="shared" si="39"/>
        <v>0.24834597949007162</v>
      </c>
      <c r="P126" s="233">
        <f t="shared" si="40"/>
        <v>372.41229472936158</v>
      </c>
      <c r="Q126" s="234">
        <f t="shared" si="41"/>
        <v>330.37449475548897</v>
      </c>
      <c r="R126" s="234">
        <f t="shared" si="36"/>
        <v>69.723615563307433</v>
      </c>
      <c r="S126" s="235">
        <f t="shared" si="37"/>
        <v>13.774063730633063</v>
      </c>
      <c r="T126" s="236">
        <f t="shared" si="42"/>
        <v>-12.412294729361577</v>
      </c>
      <c r="U126" s="237">
        <f t="shared" si="43"/>
        <v>29.625505244511032</v>
      </c>
      <c r="V126" s="238">
        <f t="shared" si="44"/>
        <v>-69.723615563307433</v>
      </c>
      <c r="W126" s="238">
        <f t="shared" si="45"/>
        <v>-13.774063730633063</v>
      </c>
      <c r="X126" s="238"/>
      <c r="Y126" s="297"/>
    </row>
    <row r="127" spans="13:25" hidden="1">
      <c r="M127" s="304">
        <f t="shared" si="38"/>
        <v>13.91415114608227</v>
      </c>
      <c r="N127" s="305">
        <f t="shared" si="25"/>
        <v>13.91415114608227</v>
      </c>
      <c r="O127" s="306">
        <f t="shared" si="39"/>
        <v>0.24284775011927812</v>
      </c>
      <c r="P127" s="233">
        <f t="shared" si="40"/>
        <v>372.24358761654958</v>
      </c>
      <c r="Q127" s="234">
        <f t="shared" si="41"/>
        <v>330.54320186830103</v>
      </c>
      <c r="R127" s="234">
        <f t="shared" si="36"/>
        <v>69.58619787082165</v>
      </c>
      <c r="S127" s="235">
        <f t="shared" si="37"/>
        <v>13.911481423118843</v>
      </c>
      <c r="T127" s="236">
        <f t="shared" si="42"/>
        <v>-12.243587616549576</v>
      </c>
      <c r="U127" s="237">
        <f t="shared" si="43"/>
        <v>29.456798131698974</v>
      </c>
      <c r="V127" s="238">
        <f t="shared" si="44"/>
        <v>-69.58619787082165</v>
      </c>
      <c r="W127" s="238">
        <f t="shared" si="45"/>
        <v>-13.911481423118843</v>
      </c>
      <c r="X127" s="238"/>
      <c r="Y127" s="297"/>
    </row>
    <row r="128" spans="13:25" hidden="1">
      <c r="M128" s="304">
        <f t="shared" si="38"/>
        <v>13.599125808340933</v>
      </c>
      <c r="N128" s="305">
        <f t="shared" si="25"/>
        <v>13.599125808340933</v>
      </c>
      <c r="O128" s="306">
        <f t="shared" si="39"/>
        <v>0.23734952074848462</v>
      </c>
      <c r="P128" s="233">
        <f t="shared" si="40"/>
        <v>372.06893634562084</v>
      </c>
      <c r="Q128" s="234">
        <f t="shared" si="41"/>
        <v>330.71785313922976</v>
      </c>
      <c r="R128" s="234">
        <f t="shared" si="36"/>
        <v>69.444846421889466</v>
      </c>
      <c r="S128" s="235">
        <f t="shared" si="37"/>
        <v>14.052832872051022</v>
      </c>
      <c r="T128" s="236">
        <f t="shared" si="42"/>
        <v>-12.068936345620841</v>
      </c>
      <c r="U128" s="237">
        <f t="shared" si="43"/>
        <v>29.28214686077024</v>
      </c>
      <c r="V128" s="238">
        <f t="shared" si="44"/>
        <v>-69.444846421889466</v>
      </c>
      <c r="W128" s="238">
        <f t="shared" si="45"/>
        <v>-14.052832872051022</v>
      </c>
      <c r="X128" s="238"/>
      <c r="Y128" s="297"/>
    </row>
    <row r="129" spans="13:25" hidden="1">
      <c r="M129" s="304">
        <f t="shared" si="38"/>
        <v>13.284100470599595</v>
      </c>
      <c r="N129" s="305">
        <f t="shared" si="25"/>
        <v>13.284100470599595</v>
      </c>
      <c r="O129" s="306">
        <f t="shared" si="39"/>
        <v>0.23185129137769112</v>
      </c>
      <c r="P129" s="233">
        <f t="shared" si="40"/>
        <v>371.88820224863969</v>
      </c>
      <c r="Q129" s="234">
        <f t="shared" si="41"/>
        <v>330.89858723621091</v>
      </c>
      <c r="R129" s="234">
        <f t="shared" si="36"/>
        <v>69.299509453466698</v>
      </c>
      <c r="S129" s="235">
        <f t="shared" si="37"/>
        <v>14.198169840473801</v>
      </c>
      <c r="T129" s="236">
        <f t="shared" si="42"/>
        <v>-11.888202248639686</v>
      </c>
      <c r="U129" s="237">
        <f t="shared" si="43"/>
        <v>29.101412763789085</v>
      </c>
      <c r="V129" s="238">
        <f t="shared" si="44"/>
        <v>-69.299509453466698</v>
      </c>
      <c r="W129" s="238">
        <f t="shared" si="45"/>
        <v>-14.198169840473801</v>
      </c>
      <c r="X129" s="238"/>
      <c r="Y129" s="297"/>
    </row>
    <row r="130" spans="13:25" hidden="1">
      <c r="M130" s="304">
        <f t="shared" si="38"/>
        <v>12.969075132858258</v>
      </c>
      <c r="N130" s="305">
        <f t="shared" si="25"/>
        <v>12.969075132858258</v>
      </c>
      <c r="O130" s="306">
        <f t="shared" si="39"/>
        <v>0.22635306200689764</v>
      </c>
      <c r="P130" s="233">
        <f t="shared" si="40"/>
        <v>371.7012356866814</v>
      </c>
      <c r="Q130" s="234">
        <f t="shared" si="41"/>
        <v>331.08555379816914</v>
      </c>
      <c r="R130" s="234">
        <f t="shared" si="36"/>
        <v>69.150131918763506</v>
      </c>
      <c r="S130" s="235">
        <f t="shared" si="37"/>
        <v>14.347547375176996</v>
      </c>
      <c r="T130" s="236">
        <f t="shared" si="42"/>
        <v>-11.7012356866814</v>
      </c>
      <c r="U130" s="237">
        <f t="shared" si="43"/>
        <v>28.914446201830856</v>
      </c>
      <c r="V130" s="238">
        <f t="shared" si="44"/>
        <v>-69.150131918763506</v>
      </c>
      <c r="W130" s="238">
        <f t="shared" si="45"/>
        <v>-14.347547375176996</v>
      </c>
      <c r="X130" s="238"/>
      <c r="Y130" s="297"/>
    </row>
    <row r="131" spans="13:25" hidden="1">
      <c r="M131" s="304">
        <f t="shared" si="38"/>
        <v>12.65404979511692</v>
      </c>
      <c r="N131" s="305">
        <f t="shared" si="25"/>
        <v>12.65404979511692</v>
      </c>
      <c r="O131" s="306">
        <f t="shared" si="39"/>
        <v>0.22085483263610414</v>
      </c>
      <c r="P131" s="233">
        <f t="shared" si="40"/>
        <v>371.50787510473248</v>
      </c>
      <c r="Q131" s="234">
        <f t="shared" si="41"/>
        <v>331.27891438011812</v>
      </c>
      <c r="R131" s="234">
        <f t="shared" si="36"/>
        <v>68.996655322911508</v>
      </c>
      <c r="S131" s="235">
        <f t="shared" si="37"/>
        <v>14.501023971028987</v>
      </c>
      <c r="T131" s="236">
        <f t="shared" si="42"/>
        <v>-11.507875104732477</v>
      </c>
      <c r="U131" s="237">
        <f t="shared" si="43"/>
        <v>28.721085619881876</v>
      </c>
      <c r="V131" s="238">
        <f t="shared" si="44"/>
        <v>-68.996655322911508</v>
      </c>
      <c r="W131" s="238">
        <f t="shared" si="45"/>
        <v>-14.501023971028987</v>
      </c>
      <c r="X131" s="238"/>
      <c r="Y131" s="297"/>
    </row>
    <row r="132" spans="13:25" hidden="1">
      <c r="M132" s="304">
        <f t="shared" si="38"/>
        <v>12.339024457375583</v>
      </c>
      <c r="N132" s="305">
        <f t="shared" si="25"/>
        <v>12.339024457375583</v>
      </c>
      <c r="O132" s="306">
        <f t="shared" si="39"/>
        <v>0.21535660326531064</v>
      </c>
      <c r="P132" s="233">
        <f t="shared" si="40"/>
        <v>371.30794596578733</v>
      </c>
      <c r="Q132" s="234">
        <f t="shared" si="41"/>
        <v>331.47884351906322</v>
      </c>
      <c r="R132" s="234">
        <f t="shared" si="36"/>
        <v>68.839017544185197</v>
      </c>
      <c r="S132" s="235">
        <f t="shared" si="37"/>
        <v>14.658661749755293</v>
      </c>
      <c r="T132" s="236">
        <f t="shared" si="42"/>
        <v>-11.307945965787326</v>
      </c>
      <c r="U132" s="237">
        <f t="shared" si="43"/>
        <v>28.521156480936781</v>
      </c>
      <c r="V132" s="238">
        <f t="shared" si="44"/>
        <v>-68.839017544185197</v>
      </c>
      <c r="W132" s="238">
        <f t="shared" si="45"/>
        <v>-14.658661749755293</v>
      </c>
      <c r="X132" s="238"/>
      <c r="Y132" s="297"/>
    </row>
    <row r="133" spans="13:25" hidden="1">
      <c r="M133" s="304">
        <f t="shared" si="38"/>
        <v>12.023999119634246</v>
      </c>
      <c r="N133" s="305">
        <f t="shared" si="25"/>
        <v>12.023999119634246</v>
      </c>
      <c r="O133" s="306">
        <f t="shared" si="39"/>
        <v>0.20985837389451714</v>
      </c>
      <c r="P133" s="233">
        <f t="shared" si="40"/>
        <v>371.10125954534811</v>
      </c>
      <c r="Q133" s="234">
        <f t="shared" si="41"/>
        <v>331.68552993950243</v>
      </c>
      <c r="R133" s="234">
        <f t="shared" si="36"/>
        <v>68.677152639382015</v>
      </c>
      <c r="S133" s="235">
        <f t="shared" si="37"/>
        <v>14.82052665455849</v>
      </c>
      <c r="T133" s="236">
        <f t="shared" si="42"/>
        <v>-11.101259545348114</v>
      </c>
      <c r="U133" s="237">
        <f t="shared" si="43"/>
        <v>28.31447006049757</v>
      </c>
      <c r="V133" s="238">
        <f t="shared" si="44"/>
        <v>-68.677152639382015</v>
      </c>
      <c r="W133" s="238">
        <f t="shared" si="45"/>
        <v>-14.82052665455849</v>
      </c>
      <c r="X133" s="238"/>
      <c r="Y133" s="297"/>
    </row>
    <row r="134" spans="13:25" hidden="1">
      <c r="M134" s="304">
        <f t="shared" si="38"/>
        <v>11.708973781892908</v>
      </c>
      <c r="N134" s="305">
        <f t="shared" si="25"/>
        <v>11.708973781892908</v>
      </c>
      <c r="O134" s="306">
        <f t="shared" si="39"/>
        <v>0.20436014452372364</v>
      </c>
      <c r="P134" s="233">
        <f t="shared" si="40"/>
        <v>370.88761156392502</v>
      </c>
      <c r="Q134" s="234">
        <f t="shared" si="41"/>
        <v>331.89917792092552</v>
      </c>
      <c r="R134" s="234">
        <f t="shared" si="36"/>
        <v>68.510990631793661</v>
      </c>
      <c r="S134" s="235">
        <f t="shared" si="37"/>
        <v>14.986688662146841</v>
      </c>
      <c r="T134" s="236">
        <f t="shared" si="42"/>
        <v>-10.88761156392502</v>
      </c>
      <c r="U134" s="237">
        <f t="shared" si="43"/>
        <v>28.100822079074476</v>
      </c>
      <c r="V134" s="238">
        <f t="shared" si="44"/>
        <v>-68.510990631793661</v>
      </c>
      <c r="W134" s="238">
        <f t="shared" si="45"/>
        <v>-14.986688662146841</v>
      </c>
      <c r="X134" s="238"/>
      <c r="Y134" s="297"/>
    </row>
    <row r="135" spans="13:25" hidden="1">
      <c r="M135" s="304">
        <f t="shared" si="38"/>
        <v>11.393948444151571</v>
      </c>
      <c r="N135" s="305">
        <f t="shared" si="25"/>
        <v>11.393948444151571</v>
      </c>
      <c r="O135" s="306">
        <f t="shared" si="39"/>
        <v>0.19886191515293017</v>
      </c>
      <c r="P135" s="233">
        <f t="shared" si="40"/>
        <v>370.66678063070196</v>
      </c>
      <c r="Q135" s="234">
        <f t="shared" si="41"/>
        <v>332.12000885414864</v>
      </c>
      <c r="R135" s="234">
        <f t="shared" si="36"/>
        <v>68.340457280004813</v>
      </c>
      <c r="S135" s="235">
        <f t="shared" si="37"/>
        <v>15.157222013935689</v>
      </c>
      <c r="T135" s="236">
        <f t="shared" si="42"/>
        <v>-10.666780630701965</v>
      </c>
      <c r="U135" s="237">
        <f t="shared" si="43"/>
        <v>27.879991145851363</v>
      </c>
      <c r="V135" s="238">
        <f t="shared" si="44"/>
        <v>-68.340457280004813</v>
      </c>
      <c r="W135" s="238">
        <f t="shared" si="45"/>
        <v>-15.157222013935689</v>
      </c>
      <c r="X135" s="238"/>
      <c r="Y135" s="297"/>
    </row>
    <row r="136" spans="13:25" hidden="1">
      <c r="M136" s="304">
        <f t="shared" si="38"/>
        <v>11.078923106410233</v>
      </c>
      <c r="N136" s="305">
        <f t="shared" ref="N136:N193" si="46">N135-step</f>
        <v>11.078923106410233</v>
      </c>
      <c r="O136" s="306">
        <f t="shared" si="39"/>
        <v>0.19336368578213667</v>
      </c>
      <c r="P136" s="233">
        <f t="shared" si="40"/>
        <v>370.43852646605603</v>
      </c>
      <c r="Q136" s="234">
        <f t="shared" si="41"/>
        <v>332.34826301879457</v>
      </c>
      <c r="R136" s="234">
        <f t="shared" ref="R136:R167" si="47">IFERROR(DEGREES(grt_+ACOS((SIN(h_)-SIN(d_)*SIN(O136))/COS(d_)/COS(O136))),#N/A)</f>
        <v>68.165473825529304</v>
      </c>
      <c r="S136" s="235">
        <f t="shared" ref="S136:S167" si="48">IFERROR(DEGREES(grt_-ACOS((SIN(h_)-SIN(d_)*SIN(O136))/COS(d_)/COS(O136))),#N/A)</f>
        <v>15.332205468411201</v>
      </c>
      <c r="T136" s="236">
        <f t="shared" si="42"/>
        <v>-10.438526466056032</v>
      </c>
      <c r="U136" s="237">
        <f t="shared" si="43"/>
        <v>27.651736981205431</v>
      </c>
      <c r="V136" s="238">
        <f t="shared" si="44"/>
        <v>-68.165473825529304</v>
      </c>
      <c r="W136" s="238">
        <f t="shared" si="45"/>
        <v>-15.332205468411201</v>
      </c>
      <c r="X136" s="238"/>
      <c r="Y136" s="297"/>
    </row>
    <row r="137" spans="13:25" hidden="1">
      <c r="M137" s="304">
        <f t="shared" si="38"/>
        <v>10.763897768668896</v>
      </c>
      <c r="N137" s="305">
        <f t="shared" si="46"/>
        <v>10.763897768668896</v>
      </c>
      <c r="O137" s="306">
        <f t="shared" si="39"/>
        <v>0.18786545641134317</v>
      </c>
      <c r="P137" s="233">
        <f t="shared" si="40"/>
        <v>370.20258786382004</v>
      </c>
      <c r="Q137" s="234">
        <f t="shared" si="41"/>
        <v>332.58420162103056</v>
      </c>
      <c r="R137" s="234">
        <f t="shared" si="47"/>
        <v>67.985956717036643</v>
      </c>
      <c r="S137" s="235">
        <f t="shared" si="48"/>
        <v>15.511722576903853</v>
      </c>
      <c r="T137" s="236">
        <f t="shared" si="42"/>
        <v>-10.202587863820042</v>
      </c>
      <c r="U137" s="237">
        <f t="shared" si="43"/>
        <v>27.415798378969441</v>
      </c>
      <c r="V137" s="238">
        <f t="shared" si="44"/>
        <v>-67.985956717036643</v>
      </c>
      <c r="W137" s="238">
        <f t="shared" si="45"/>
        <v>-15.511722576903853</v>
      </c>
      <c r="X137" s="238"/>
      <c r="Y137" s="297"/>
    </row>
    <row r="138" spans="13:25" hidden="1">
      <c r="M138" s="304">
        <f t="shared" si="38"/>
        <v>10.448872430927558</v>
      </c>
      <c r="N138" s="305">
        <f t="shared" si="46"/>
        <v>10.448872430927558</v>
      </c>
      <c r="O138" s="306">
        <f t="shared" si="39"/>
        <v>0.18236722704054967</v>
      </c>
      <c r="P138" s="233">
        <f t="shared" si="40"/>
        <v>369.95868034565729</v>
      </c>
      <c r="Q138" s="234">
        <f t="shared" si="41"/>
        <v>332.82810913919326</v>
      </c>
      <c r="R138" s="234">
        <f t="shared" si="47"/>
        <v>67.801817308623072</v>
      </c>
      <c r="S138" s="235">
        <f t="shared" si="48"/>
        <v>15.695861985317423</v>
      </c>
      <c r="T138" s="236">
        <f t="shared" si="42"/>
        <v>-9.9586803456572852</v>
      </c>
      <c r="U138" s="237">
        <f t="shared" si="43"/>
        <v>27.171890860806741</v>
      </c>
      <c r="V138" s="238">
        <f t="shared" si="44"/>
        <v>-67.801817308623072</v>
      </c>
      <c r="W138" s="238">
        <f t="shared" si="45"/>
        <v>-15.695861985317423</v>
      </c>
      <c r="X138" s="238"/>
      <c r="Y138" s="297"/>
    </row>
    <row r="139" spans="13:25" hidden="1">
      <c r="M139" s="304">
        <f t="shared" si="38"/>
        <v>10.133847093186221</v>
      </c>
      <c r="N139" s="305">
        <f t="shared" si="46"/>
        <v>10.133847093186221</v>
      </c>
      <c r="O139" s="306">
        <f t="shared" si="39"/>
        <v>0.17686899766975617</v>
      </c>
      <c r="P139" s="233">
        <f t="shared" si="40"/>
        <v>369.70649344920344</v>
      </c>
      <c r="Q139" s="234">
        <f t="shared" si="41"/>
        <v>333.08029603564717</v>
      </c>
      <c r="R139" s="234">
        <f t="shared" si="47"/>
        <v>67.612961529238234</v>
      </c>
      <c r="S139" s="235">
        <f t="shared" si="48"/>
        <v>15.884717764702263</v>
      </c>
      <c r="T139" s="236">
        <f t="shared" si="42"/>
        <v>-9.7064934492034354</v>
      </c>
      <c r="U139" s="237">
        <f t="shared" si="43"/>
        <v>26.919703964352834</v>
      </c>
      <c r="V139" s="238">
        <f t="shared" si="44"/>
        <v>-67.612961529238234</v>
      </c>
      <c r="W139" s="238">
        <f t="shared" si="45"/>
        <v>-15.884717764702263</v>
      </c>
      <c r="X139" s="238"/>
      <c r="Y139" s="297"/>
    </row>
    <row r="140" spans="13:25" hidden="1">
      <c r="M140" s="304">
        <f t="shared" si="38"/>
        <v>9.8188217554448833</v>
      </c>
      <c r="N140" s="305">
        <f t="shared" si="46"/>
        <v>9.8188217554448833</v>
      </c>
      <c r="O140" s="306">
        <f t="shared" si="39"/>
        <v>0.17137076829896267</v>
      </c>
      <c r="P140" s="233">
        <f t="shared" si="40"/>
        <v>369.44568757800954</v>
      </c>
      <c r="Q140" s="234">
        <f t="shared" si="41"/>
        <v>333.34110190684106</v>
      </c>
      <c r="R140" s="234">
        <f t="shared" si="47"/>
        <v>67.419289519981191</v>
      </c>
      <c r="S140" s="235">
        <f t="shared" si="48"/>
        <v>16.078389773959294</v>
      </c>
      <c r="T140" s="236">
        <f t="shared" si="42"/>
        <v>-9.4456875780095402</v>
      </c>
      <c r="U140" s="237">
        <f t="shared" si="43"/>
        <v>26.658898093158939</v>
      </c>
      <c r="V140" s="238">
        <f t="shared" si="44"/>
        <v>-67.419289519981191</v>
      </c>
      <c r="W140" s="238">
        <f t="shared" si="45"/>
        <v>-16.078389773959294</v>
      </c>
      <c r="X140" s="238"/>
      <c r="Y140" s="297"/>
    </row>
    <row r="141" spans="13:25" hidden="1">
      <c r="M141" s="304">
        <f t="shared" si="38"/>
        <v>9.5037964177035459</v>
      </c>
      <c r="N141" s="305">
        <f t="shared" si="46"/>
        <v>9.5037964177035459</v>
      </c>
      <c r="O141" s="306">
        <f t="shared" si="39"/>
        <v>0.16587253892816919</v>
      </c>
      <c r="P141" s="233">
        <f t="shared" si="40"/>
        <v>369.17589032391373</v>
      </c>
      <c r="Q141" s="234">
        <f t="shared" si="41"/>
        <v>333.61089916093687</v>
      </c>
      <c r="R141" s="234">
        <f t="shared" si="47"/>
        <v>67.220695235517013</v>
      </c>
      <c r="S141" s="235">
        <f t="shared" si="48"/>
        <v>16.276984058423487</v>
      </c>
      <c r="T141" s="236">
        <f t="shared" si="42"/>
        <v>-9.1758903239137339</v>
      </c>
      <c r="U141" s="237">
        <f t="shared" si="43"/>
        <v>26.389100839063133</v>
      </c>
      <c r="V141" s="238">
        <f t="shared" si="44"/>
        <v>-67.220695235517013</v>
      </c>
      <c r="W141" s="238">
        <f t="shared" si="45"/>
        <v>-16.276984058423487</v>
      </c>
      <c r="X141" s="238"/>
      <c r="Y141" s="297"/>
    </row>
    <row r="142" spans="13:25" hidden="1">
      <c r="M142" s="304">
        <f t="shared" si="38"/>
        <v>9.1887710799622084</v>
      </c>
      <c r="N142" s="305">
        <f t="shared" si="46"/>
        <v>9.1887710799622084</v>
      </c>
      <c r="O142" s="306">
        <f t="shared" si="39"/>
        <v>0.16037430955737569</v>
      </c>
      <c r="P142" s="233">
        <f t="shared" si="40"/>
        <v>368.89669214999509</v>
      </c>
      <c r="Q142" s="234">
        <f t="shared" si="41"/>
        <v>333.89009733485551</v>
      </c>
      <c r="R142" s="234">
        <f t="shared" si="47"/>
        <v>67.017066005327479</v>
      </c>
      <c r="S142" s="235">
        <f t="shared" si="48"/>
        <v>16.480613288613004</v>
      </c>
      <c r="T142" s="236">
        <f t="shared" si="42"/>
        <v>-8.8966921499950899</v>
      </c>
      <c r="U142" s="237">
        <f t="shared" si="43"/>
        <v>26.109902665144489</v>
      </c>
      <c r="V142" s="238">
        <f t="shared" si="44"/>
        <v>-67.017066005327479</v>
      </c>
      <c r="W142" s="238">
        <f t="shared" si="45"/>
        <v>-16.480613288613004</v>
      </c>
      <c r="X142" s="238"/>
      <c r="Y142" s="297"/>
    </row>
    <row r="143" spans="13:25" hidden="1">
      <c r="M143" s="304">
        <f t="shared" si="38"/>
        <v>8.873745742220871</v>
      </c>
      <c r="N143" s="305">
        <f t="shared" si="46"/>
        <v>8.873745742220871</v>
      </c>
      <c r="O143" s="306">
        <f t="shared" si="39"/>
        <v>0.15487608018658219</v>
      </c>
      <c r="P143" s="233">
        <f t="shared" si="40"/>
        <v>368.60764129300958</v>
      </c>
      <c r="Q143" s="234">
        <f t="shared" si="41"/>
        <v>334.17914819184102</v>
      </c>
      <c r="R143" s="234">
        <f t="shared" si="47"/>
        <v>66.808282049880631</v>
      </c>
      <c r="S143" s="235">
        <f t="shared" si="48"/>
        <v>16.689397244059869</v>
      </c>
      <c r="T143" s="236">
        <f t="shared" si="42"/>
        <v>-8.6076412930095785</v>
      </c>
      <c r="U143" s="237">
        <f t="shared" si="43"/>
        <v>25.820851808158977</v>
      </c>
      <c r="V143" s="238">
        <f t="shared" si="44"/>
        <v>-66.808282049880631</v>
      </c>
      <c r="W143" s="238">
        <f t="shared" si="45"/>
        <v>-16.689397244059869</v>
      </c>
      <c r="X143" s="238"/>
      <c r="Y143" s="297"/>
    </row>
    <row r="144" spans="13:25" hidden="1">
      <c r="M144" s="304">
        <f t="shared" si="38"/>
        <v>8.5587204044795335</v>
      </c>
      <c r="N144" s="305">
        <f t="shared" si="46"/>
        <v>8.5587204044795335</v>
      </c>
      <c r="O144" s="306">
        <f t="shared" si="39"/>
        <v>0.14937785081578869</v>
      </c>
      <c r="P144" s="233">
        <f t="shared" si="40"/>
        <v>368.30823770574091</v>
      </c>
      <c r="Q144" s="234">
        <f t="shared" si="41"/>
        <v>334.47855177910964</v>
      </c>
      <c r="R144" s="234">
        <f t="shared" si="47"/>
        <v>66.594215946065717</v>
      </c>
      <c r="S144" s="235">
        <f t="shared" si="48"/>
        <v>16.903463347874773</v>
      </c>
      <c r="T144" s="236">
        <f t="shared" si="42"/>
        <v>-8.3082377057409076</v>
      </c>
      <c r="U144" s="237">
        <f t="shared" si="43"/>
        <v>25.521448220890363</v>
      </c>
      <c r="V144" s="238">
        <f t="shared" si="44"/>
        <v>-66.594215946065717</v>
      </c>
      <c r="W144" s="238">
        <f t="shared" si="45"/>
        <v>-16.903463347874773</v>
      </c>
      <c r="X144" s="238"/>
      <c r="Y144" s="297"/>
    </row>
    <row r="145" spans="13:25" hidden="1">
      <c r="M145" s="304">
        <f t="shared" si="38"/>
        <v>8.2436950667381961</v>
      </c>
      <c r="N145" s="305">
        <f t="shared" si="46"/>
        <v>8.2436950667381961</v>
      </c>
      <c r="O145" s="306">
        <f t="shared" si="39"/>
        <v>0.14387962144499519</v>
      </c>
      <c r="P145" s="233">
        <f t="shared" si="40"/>
        <v>367.99792580858758</v>
      </c>
      <c r="Q145" s="234">
        <f t="shared" si="41"/>
        <v>334.78886367626302</v>
      </c>
      <c r="R145" s="234">
        <f t="shared" si="47"/>
        <v>66.37473203537354</v>
      </c>
      <c r="S145" s="235">
        <f t="shared" si="48"/>
        <v>17.122947258566956</v>
      </c>
      <c r="T145" s="236">
        <f t="shared" si="42"/>
        <v>-7.9979258085875813</v>
      </c>
      <c r="U145" s="237">
        <f t="shared" si="43"/>
        <v>25.21113632373698</v>
      </c>
      <c r="V145" s="238">
        <f t="shared" si="44"/>
        <v>-66.37473203537354</v>
      </c>
      <c r="W145" s="238">
        <f t="shared" si="45"/>
        <v>-17.122947258566956</v>
      </c>
      <c r="X145" s="238"/>
      <c r="Y145" s="297"/>
    </row>
    <row r="146" spans="13:25" hidden="1">
      <c r="M146" s="304">
        <f t="shared" si="38"/>
        <v>7.9286697289968586</v>
      </c>
      <c r="N146" s="305">
        <f t="shared" si="46"/>
        <v>7.9286697289968586</v>
      </c>
      <c r="O146" s="306">
        <f t="shared" si="39"/>
        <v>0.13838139207420172</v>
      </c>
      <c r="P146" s="233">
        <f t="shared" si="40"/>
        <v>367.67608575101883</v>
      </c>
      <c r="Q146" s="234">
        <f t="shared" si="41"/>
        <v>335.11070373383177</v>
      </c>
      <c r="R146" s="234">
        <f t="shared" si="47"/>
        <v>66.149685767275315</v>
      </c>
      <c r="S146" s="235">
        <f t="shared" si="48"/>
        <v>17.347993526665174</v>
      </c>
      <c r="T146" s="236">
        <f t="shared" si="42"/>
        <v>-7.6760857510188316</v>
      </c>
      <c r="U146" s="237">
        <f t="shared" si="43"/>
        <v>24.88929626616823</v>
      </c>
      <c r="V146" s="238">
        <f t="shared" si="44"/>
        <v>-66.149685767275315</v>
      </c>
      <c r="W146" s="238">
        <f t="shared" si="45"/>
        <v>-17.347993526665174</v>
      </c>
      <c r="X146" s="238"/>
      <c r="Y146" s="297"/>
    </row>
    <row r="147" spans="13:25" hidden="1">
      <c r="M147" s="304">
        <f t="shared" si="38"/>
        <v>7.6136443912555212</v>
      </c>
      <c r="N147" s="305">
        <f t="shared" si="46"/>
        <v>7.6136443912555212</v>
      </c>
      <c r="O147" s="306">
        <f t="shared" si="39"/>
        <v>0.13288316270340822</v>
      </c>
      <c r="P147" s="233">
        <f t="shared" si="40"/>
        <v>367.34202279007985</v>
      </c>
      <c r="Q147" s="234">
        <f t="shared" si="41"/>
        <v>335.44476669477069</v>
      </c>
      <c r="R147" s="234">
        <f t="shared" si="47"/>
        <v>65.918922969038945</v>
      </c>
      <c r="S147" s="235">
        <f t="shared" si="48"/>
        <v>17.578756324901562</v>
      </c>
      <c r="T147" s="236">
        <f t="shared" si="42"/>
        <v>-7.3420227900798523</v>
      </c>
      <c r="U147" s="237">
        <f t="shared" si="43"/>
        <v>24.555233305229308</v>
      </c>
      <c r="V147" s="238">
        <f t="shared" si="44"/>
        <v>-65.918922969038945</v>
      </c>
      <c r="W147" s="238">
        <f t="shared" si="45"/>
        <v>-17.578756324901562</v>
      </c>
      <c r="X147" s="238"/>
      <c r="Y147" s="297"/>
    </row>
    <row r="148" spans="13:25" hidden="1">
      <c r="M148" s="304">
        <f t="shared" si="38"/>
        <v>7.2986190535141837</v>
      </c>
      <c r="N148" s="305">
        <f t="shared" si="46"/>
        <v>7.2986190535141837</v>
      </c>
      <c r="O148" s="306">
        <f t="shared" si="39"/>
        <v>0.12738493333261472</v>
      </c>
      <c r="P148" s="233">
        <f t="shared" si="40"/>
        <v>366.99495426426353</v>
      </c>
      <c r="Q148" s="234">
        <f t="shared" si="41"/>
        <v>335.79183522058707</v>
      </c>
      <c r="R148" s="234">
        <f t="shared" si="47"/>
        <v>65.682279031773092</v>
      </c>
      <c r="S148" s="235">
        <f t="shared" si="48"/>
        <v>17.815400262167394</v>
      </c>
      <c r="T148" s="236">
        <f t="shared" si="42"/>
        <v>-6.9949542642635265</v>
      </c>
      <c r="U148" s="237">
        <f t="shared" si="43"/>
        <v>24.208164779412925</v>
      </c>
      <c r="V148" s="238">
        <f t="shared" si="44"/>
        <v>-65.682279031773092</v>
      </c>
      <c r="W148" s="238">
        <f t="shared" si="45"/>
        <v>-17.815400262167394</v>
      </c>
      <c r="X148" s="238"/>
      <c r="Y148" s="297"/>
    </row>
    <row r="149" spans="13:25" hidden="1">
      <c r="M149" s="304">
        <f t="shared" si="38"/>
        <v>6.9835937157728463</v>
      </c>
      <c r="N149" s="305">
        <f t="shared" si="46"/>
        <v>6.9835937157728463</v>
      </c>
      <c r="O149" s="306">
        <f t="shared" si="39"/>
        <v>0.12188670396182122</v>
      </c>
      <c r="P149" s="233">
        <f t="shared" si="40"/>
        <v>366.63399346076801</v>
      </c>
      <c r="Q149" s="234">
        <f t="shared" si="41"/>
        <v>336.15279602408259</v>
      </c>
      <c r="R149" s="234">
        <f t="shared" si="47"/>
        <v>65.439578000760463</v>
      </c>
      <c r="S149" s="235">
        <f t="shared" si="48"/>
        <v>18.05810129318002</v>
      </c>
      <c r="T149" s="236">
        <f t="shared" si="42"/>
        <v>-6.6339934607680107</v>
      </c>
      <c r="U149" s="237">
        <f t="shared" si="43"/>
        <v>23.847203975917409</v>
      </c>
      <c r="V149" s="238">
        <f t="shared" si="44"/>
        <v>-65.439578000760463</v>
      </c>
      <c r="W149" s="238">
        <f t="shared" si="45"/>
        <v>-18.05810129318002</v>
      </c>
      <c r="X149" s="238"/>
      <c r="Y149" s="297"/>
    </row>
    <row r="150" spans="13:25" hidden="1">
      <c r="M150" s="304">
        <f t="shared" si="38"/>
        <v>6.6685683780315088</v>
      </c>
      <c r="N150" s="305">
        <f t="shared" si="46"/>
        <v>6.6685683780315088</v>
      </c>
      <c r="O150" s="306">
        <f t="shared" si="39"/>
        <v>0.11638847459102773</v>
      </c>
      <c r="P150" s="233">
        <f t="shared" si="40"/>
        <v>366.25812941781908</v>
      </c>
      <c r="Q150" s="234">
        <f t="shared" si="41"/>
        <v>336.52866006703152</v>
      </c>
      <c r="R150" s="234">
        <f t="shared" si="47"/>
        <v>65.190631556062016</v>
      </c>
      <c r="S150" s="235">
        <f t="shared" si="48"/>
        <v>18.307047737878474</v>
      </c>
      <c r="T150" s="236">
        <f t="shared" si="42"/>
        <v>-6.2581294178190774</v>
      </c>
      <c r="U150" s="237">
        <f t="shared" si="43"/>
        <v>23.471339932968476</v>
      </c>
      <c r="V150" s="238">
        <f t="shared" si="44"/>
        <v>-65.190631556062016</v>
      </c>
      <c r="W150" s="238">
        <f t="shared" si="45"/>
        <v>-18.307047737878474</v>
      </c>
      <c r="X150" s="238"/>
      <c r="Y150" s="297"/>
    </row>
    <row r="151" spans="13:25" hidden="1">
      <c r="M151" s="304">
        <f t="shared" si="38"/>
        <v>6.3535430402901714</v>
      </c>
      <c r="N151" s="305">
        <f t="shared" si="46"/>
        <v>6.3535430402901714</v>
      </c>
      <c r="O151" s="306">
        <f t="shared" si="39"/>
        <v>0.11089024522023423</v>
      </c>
      <c r="P151" s="233">
        <f t="shared" si="40"/>
        <v>365.86620133278586</v>
      </c>
      <c r="Q151" s="234">
        <f t="shared" si="41"/>
        <v>336.92058815206468</v>
      </c>
      <c r="R151" s="234">
        <f t="shared" si="47"/>
        <v>64.93523786686886</v>
      </c>
      <c r="S151" s="235">
        <f t="shared" si="48"/>
        <v>18.562441427071633</v>
      </c>
      <c r="T151" s="236">
        <f t="shared" si="42"/>
        <v>-5.8662013327858631</v>
      </c>
      <c r="U151" s="237">
        <f t="shared" si="43"/>
        <v>23.079411847935319</v>
      </c>
      <c r="V151" s="238">
        <f t="shared" si="44"/>
        <v>-64.93523786686886</v>
      </c>
      <c r="W151" s="238">
        <f t="shared" si="45"/>
        <v>-18.562441427071633</v>
      </c>
      <c r="X151" s="238"/>
      <c r="Y151" s="297"/>
    </row>
    <row r="152" spans="13:25" hidden="1">
      <c r="M152" s="304">
        <f t="shared" si="38"/>
        <v>6.0385177025488339</v>
      </c>
      <c r="N152" s="305">
        <f t="shared" si="46"/>
        <v>6.0385177025488339</v>
      </c>
      <c r="O152" s="306">
        <f t="shared" si="39"/>
        <v>0.10539201584944073</v>
      </c>
      <c r="P152" s="233">
        <f t="shared" si="40"/>
        <v>365.45686569944985</v>
      </c>
      <c r="Q152" s="234">
        <f t="shared" si="41"/>
        <v>337.32992378540075</v>
      </c>
      <c r="R152" s="234">
        <f t="shared" si="47"/>
        <v>64.673180300037856</v>
      </c>
      <c r="S152" s="235">
        <f t="shared" si="48"/>
        <v>18.824498993902644</v>
      </c>
      <c r="T152" s="236">
        <f t="shared" si="42"/>
        <v>-5.4568656994498497</v>
      </c>
      <c r="U152" s="237">
        <f t="shared" si="43"/>
        <v>22.670076214599248</v>
      </c>
      <c r="V152" s="238">
        <f t="shared" si="44"/>
        <v>-64.673180300037856</v>
      </c>
      <c r="W152" s="238">
        <f t="shared" si="45"/>
        <v>-18.824498993902644</v>
      </c>
      <c r="X152" s="238"/>
      <c r="Y152" s="297"/>
    </row>
    <row r="153" spans="13:25" hidden="1">
      <c r="M153" s="304">
        <f t="shared" si="38"/>
        <v>5.7234923648074965</v>
      </c>
      <c r="N153" s="305">
        <f t="shared" si="46"/>
        <v>5.7234923648074965</v>
      </c>
      <c r="O153" s="306">
        <f t="shared" si="39"/>
        <v>9.9893786478647245E-2</v>
      </c>
      <c r="P153" s="233">
        <f t="shared" si="40"/>
        <v>365.02855347232469</v>
      </c>
      <c r="Q153" s="234">
        <f t="shared" si="41"/>
        <v>337.75823601252591</v>
      </c>
      <c r="R153" s="234">
        <f t="shared" si="47"/>
        <v>64.404225959544519</v>
      </c>
      <c r="S153" s="235">
        <f t="shared" si="48"/>
        <v>19.093453334395967</v>
      </c>
      <c r="T153" s="236">
        <f t="shared" si="42"/>
        <v>-5.0285534723246883</v>
      </c>
      <c r="U153" s="237">
        <f t="shared" si="43"/>
        <v>22.241763987474087</v>
      </c>
      <c r="V153" s="238">
        <f t="shared" si="44"/>
        <v>-64.404225959544519</v>
      </c>
      <c r="W153" s="238">
        <f t="shared" si="45"/>
        <v>-19.093453334395967</v>
      </c>
      <c r="X153" s="238"/>
      <c r="Y153" s="297"/>
    </row>
    <row r="154" spans="13:25" hidden="1">
      <c r="M154" s="304">
        <f t="shared" si="38"/>
        <v>5.408467027066159</v>
      </c>
      <c r="N154" s="305">
        <f t="shared" si="46"/>
        <v>5.408467027066159</v>
      </c>
      <c r="O154" s="306">
        <f t="shared" si="39"/>
        <v>9.4395557107853745E-2</v>
      </c>
      <c r="P154" s="233">
        <f t="shared" si="40"/>
        <v>364.57941328039414</v>
      </c>
      <c r="Q154" s="234">
        <f t="shared" si="41"/>
        <v>338.20737620445641</v>
      </c>
      <c r="R154" s="234">
        <f t="shared" si="47"/>
        <v>64.128124029048536</v>
      </c>
      <c r="S154" s="235">
        <f t="shared" si="48"/>
        <v>19.369555264891968</v>
      </c>
      <c r="T154" s="236">
        <f t="shared" si="42"/>
        <v>-4.5794132803941352</v>
      </c>
      <c r="U154" s="237">
        <f t="shared" si="43"/>
        <v>21.792623795543591</v>
      </c>
      <c r="V154" s="238">
        <f t="shared" si="44"/>
        <v>-64.128124029048536</v>
      </c>
      <c r="W154" s="238">
        <f t="shared" si="45"/>
        <v>-19.369555264891968</v>
      </c>
      <c r="X154" s="238"/>
      <c r="Y154" s="297"/>
    </row>
    <row r="155" spans="13:25" hidden="1">
      <c r="M155" s="304">
        <f t="shared" si="38"/>
        <v>5.0934416893248216</v>
      </c>
      <c r="N155" s="305">
        <f t="shared" si="46"/>
        <v>5.0934416893248216</v>
      </c>
      <c r="O155" s="306">
        <f t="shared" si="39"/>
        <v>8.8897327737060244E-2</v>
      </c>
      <c r="P155" s="233">
        <f t="shared" si="40"/>
        <v>364.10723468670523</v>
      </c>
      <c r="Q155" s="234">
        <f t="shared" si="41"/>
        <v>338.67955479814538</v>
      </c>
      <c r="R155" s="234">
        <f t="shared" si="47"/>
        <v>63.844603884176344</v>
      </c>
      <c r="S155" s="235">
        <f t="shared" si="48"/>
        <v>19.653075409764142</v>
      </c>
      <c r="T155" s="236">
        <f t="shared" si="42"/>
        <v>-4.1072346867052261</v>
      </c>
      <c r="U155" s="237">
        <f t="shared" si="43"/>
        <v>21.320445201854625</v>
      </c>
      <c r="V155" s="238">
        <f t="shared" si="44"/>
        <v>-63.844603884176344</v>
      </c>
      <c r="W155" s="238">
        <f t="shared" si="45"/>
        <v>-19.653075409764142</v>
      </c>
      <c r="X155" s="238"/>
      <c r="Y155" s="297"/>
    </row>
    <row r="156" spans="13:25" hidden="1">
      <c r="M156" s="304">
        <f t="shared" si="38"/>
        <v>4.7784163515834841</v>
      </c>
      <c r="N156" s="305">
        <f t="shared" si="46"/>
        <v>4.7784163515834841</v>
      </c>
      <c r="O156" s="306">
        <f t="shared" si="39"/>
        <v>8.3399098366266758E-2</v>
      </c>
      <c r="P156" s="233">
        <f t="shared" si="40"/>
        <v>363.60934217017626</v>
      </c>
      <c r="Q156" s="234">
        <f t="shared" si="41"/>
        <v>339.17744731467428</v>
      </c>
      <c r="R156" s="234">
        <f t="shared" si="47"/>
        <v>63.553372934194599</v>
      </c>
      <c r="S156" s="235">
        <f t="shared" si="48"/>
        <v>19.944306359745891</v>
      </c>
      <c r="T156" s="236">
        <f t="shared" si="42"/>
        <v>-3.6093421701762622</v>
      </c>
      <c r="U156" s="237">
        <f t="shared" si="43"/>
        <v>20.822552685325718</v>
      </c>
      <c r="V156" s="238">
        <f t="shared" si="44"/>
        <v>-63.553372934194599</v>
      </c>
      <c r="W156" s="238">
        <f t="shared" si="45"/>
        <v>-19.944306359745891</v>
      </c>
      <c r="X156" s="238"/>
      <c r="Y156" s="297"/>
    </row>
    <row r="157" spans="13:25" hidden="1">
      <c r="M157" s="304">
        <f t="shared" si="38"/>
        <v>4.4633910138421466</v>
      </c>
      <c r="N157" s="305">
        <f t="shared" si="46"/>
        <v>4.4633910138421466</v>
      </c>
      <c r="O157" s="306">
        <f t="shared" si="39"/>
        <v>7.7900868995473257E-2</v>
      </c>
      <c r="P157" s="233">
        <f t="shared" si="40"/>
        <v>363.08244486590269</v>
      </c>
      <c r="Q157" s="234">
        <f t="shared" si="41"/>
        <v>339.70434461894786</v>
      </c>
      <c r="R157" s="234">
        <f t="shared" si="47"/>
        <v>63.254114144098175</v>
      </c>
      <c r="S157" s="235">
        <f t="shared" si="48"/>
        <v>20.243565149842325</v>
      </c>
      <c r="T157" s="236">
        <f t="shared" si="42"/>
        <v>-3.0824448659026871</v>
      </c>
      <c r="U157" s="237">
        <f t="shared" si="43"/>
        <v>20.295655381052143</v>
      </c>
      <c r="V157" s="238">
        <f t="shared" si="44"/>
        <v>-63.254114144098175</v>
      </c>
      <c r="W157" s="238">
        <f t="shared" si="45"/>
        <v>-20.243565149842325</v>
      </c>
      <c r="X157" s="238"/>
      <c r="Y157" s="297"/>
    </row>
    <row r="158" spans="13:25" hidden="1">
      <c r="M158" s="304">
        <f t="shared" si="38"/>
        <v>4.1483656761008092</v>
      </c>
      <c r="N158" s="305">
        <f t="shared" si="46"/>
        <v>4.1483656761008092</v>
      </c>
      <c r="O158" s="306">
        <f t="shared" si="39"/>
        <v>7.2402639624679771E-2</v>
      </c>
      <c r="P158" s="233">
        <f t="shared" si="40"/>
        <v>362.52241711022754</v>
      </c>
      <c r="Q158" s="234">
        <f t="shared" si="41"/>
        <v>340.26437237462301</v>
      </c>
      <c r="R158" s="234">
        <f t="shared" si="47"/>
        <v>62.946483177276143</v>
      </c>
      <c r="S158" s="235">
        <f t="shared" si="48"/>
        <v>20.551196116664347</v>
      </c>
      <c r="T158" s="236">
        <f t="shared" si="42"/>
        <v>-2.5224171102275363</v>
      </c>
      <c r="U158" s="237">
        <f t="shared" si="43"/>
        <v>19.735627625376992</v>
      </c>
      <c r="V158" s="238">
        <f t="shared" si="44"/>
        <v>-62.946483177276143</v>
      </c>
      <c r="W158" s="238">
        <f t="shared" si="45"/>
        <v>-20.551196116664347</v>
      </c>
      <c r="X158" s="238"/>
      <c r="Y158" s="297"/>
    </row>
    <row r="159" spans="13:25" hidden="1">
      <c r="M159" s="304">
        <f t="shared" si="38"/>
        <v>3.8333403383594717</v>
      </c>
      <c r="N159" s="305">
        <f t="shared" si="46"/>
        <v>3.8333403383594717</v>
      </c>
      <c r="O159" s="306">
        <f t="shared" si="39"/>
        <v>6.6904410253886271E-2</v>
      </c>
      <c r="P159" s="233">
        <f t="shared" si="40"/>
        <v>361.92396624952414</v>
      </c>
      <c r="Q159" s="234">
        <f t="shared" si="41"/>
        <v>340.86282323532646</v>
      </c>
      <c r="R159" s="234">
        <f t="shared" si="47"/>
        <v>62.630105085169966</v>
      </c>
      <c r="S159" s="235">
        <f t="shared" si="48"/>
        <v>20.867574208770534</v>
      </c>
      <c r="T159" s="236">
        <f t="shared" si="42"/>
        <v>-1.9239662495241419</v>
      </c>
      <c r="U159" s="237">
        <f t="shared" si="43"/>
        <v>19.137176764673541</v>
      </c>
      <c r="V159" s="238">
        <f t="shared" si="44"/>
        <v>-62.630105085169966</v>
      </c>
      <c r="W159" s="238">
        <f t="shared" si="45"/>
        <v>-20.867574208770534</v>
      </c>
      <c r="X159" s="238"/>
      <c r="Y159" s="297"/>
    </row>
    <row r="160" spans="13:25" hidden="1">
      <c r="M160" s="304">
        <f t="shared" si="38"/>
        <v>3.5183150006181343</v>
      </c>
      <c r="N160" s="305">
        <f t="shared" si="46"/>
        <v>3.5183150006181343</v>
      </c>
      <c r="O160" s="306">
        <f t="shared" si="39"/>
        <v>6.1406180883092777E-2</v>
      </c>
      <c r="P160" s="233">
        <f t="shared" si="40"/>
        <v>361.28010748998389</v>
      </c>
      <c r="Q160" s="234">
        <f t="shared" si="41"/>
        <v>341.50668199486665</v>
      </c>
      <c r="R160" s="234">
        <f t="shared" si="47"/>
        <v>62.304570452814367</v>
      </c>
      <c r="S160" s="235">
        <f t="shared" si="48"/>
        <v>21.193108841126129</v>
      </c>
      <c r="T160" s="236">
        <f t="shared" si="42"/>
        <v>-1.2801074899838909</v>
      </c>
      <c r="U160" s="237">
        <f t="shared" si="43"/>
        <v>18.493318005133347</v>
      </c>
      <c r="V160" s="238">
        <f t="shared" si="44"/>
        <v>-62.304570452814367</v>
      </c>
      <c r="W160" s="238">
        <f t="shared" si="45"/>
        <v>-21.193108841126129</v>
      </c>
      <c r="X160" s="238"/>
      <c r="Y160" s="297"/>
    </row>
    <row r="161" spans="13:25" hidden="1">
      <c r="M161" s="304">
        <f t="shared" si="38"/>
        <v>3.2032896628767968</v>
      </c>
      <c r="N161" s="305">
        <f t="shared" si="46"/>
        <v>3.2032896628767968</v>
      </c>
      <c r="O161" s="306">
        <f t="shared" si="39"/>
        <v>5.5907951512299277E-2</v>
      </c>
      <c r="P161" s="233">
        <f t="shared" si="40"/>
        <v>360.58128777389288</v>
      </c>
      <c r="Q161" s="234">
        <f t="shared" si="41"/>
        <v>342.20550171095772</v>
      </c>
      <c r="R161" s="234">
        <f t="shared" si="47"/>
        <v>61.96943088661618</v>
      </c>
      <c r="S161" s="235">
        <f t="shared" si="48"/>
        <v>21.528248407324323</v>
      </c>
      <c r="T161" s="236">
        <f t="shared" si="42"/>
        <v>-0.58128777389288189</v>
      </c>
      <c r="U161" s="237">
        <f t="shared" si="43"/>
        <v>17.794498289042281</v>
      </c>
      <c r="V161" s="238">
        <f t="shared" si="44"/>
        <v>-61.96943088661618</v>
      </c>
      <c r="W161" s="238">
        <f t="shared" si="45"/>
        <v>-21.528248407324323</v>
      </c>
      <c r="X161" s="238"/>
      <c r="Y161" s="297"/>
    </row>
    <row r="162" spans="13:25" hidden="1">
      <c r="M162" s="304">
        <f t="shared" si="38"/>
        <v>2.8882643251354594</v>
      </c>
      <c r="N162" s="305">
        <f t="shared" si="46"/>
        <v>2.8882643251354594</v>
      </c>
      <c r="O162" s="306">
        <f t="shared" si="39"/>
        <v>5.0409722141505783E-2</v>
      </c>
      <c r="P162" s="233">
        <f t="shared" si="40"/>
        <v>359.81382011186764</v>
      </c>
      <c r="Q162" s="234">
        <f t="shared" si="41"/>
        <v>342.97296937298296</v>
      </c>
      <c r="R162" s="234">
        <f t="shared" si="47"/>
        <v>61.624193701501255</v>
      </c>
      <c r="S162" s="235">
        <f t="shared" si="48"/>
        <v>21.873485592439245</v>
      </c>
      <c r="T162" s="236">
        <f t="shared" si="42"/>
        <v>0.18617988813235797</v>
      </c>
      <c r="U162" s="237">
        <f t="shared" si="43"/>
        <v>17.027030627017041</v>
      </c>
      <c r="V162" s="238">
        <f t="shared" si="44"/>
        <v>-61.624193701501255</v>
      </c>
      <c r="W162" s="238">
        <f t="shared" si="45"/>
        <v>-21.873485592439245</v>
      </c>
      <c r="X162" s="238"/>
      <c r="Y162" s="297"/>
    </row>
    <row r="163" spans="13:25" hidden="1">
      <c r="M163" s="304">
        <f t="shared" si="38"/>
        <v>2.5732389873941219</v>
      </c>
      <c r="N163" s="305">
        <f t="shared" si="46"/>
        <v>2.5732389873941219</v>
      </c>
      <c r="O163" s="306">
        <f t="shared" si="39"/>
        <v>4.491149277071229E-2</v>
      </c>
      <c r="P163" s="233">
        <f t="shared" si="40"/>
        <v>358.95681860294155</v>
      </c>
      <c r="Q163" s="234">
        <f t="shared" si="41"/>
        <v>343.82997088190899</v>
      </c>
      <c r="R163" s="234">
        <f t="shared" si="47"/>
        <v>61.268315626292754</v>
      </c>
      <c r="S163" s="235">
        <f t="shared" si="48"/>
        <v>22.22936366764775</v>
      </c>
      <c r="T163" s="236">
        <f t="shared" si="42"/>
        <v>1.0431813970584471</v>
      </c>
      <c r="U163" s="237">
        <f t="shared" si="43"/>
        <v>16.170029118091009</v>
      </c>
      <c r="V163" s="238">
        <f t="shared" si="44"/>
        <v>-61.268315626292754</v>
      </c>
      <c r="W163" s="238">
        <f t="shared" si="45"/>
        <v>-22.22936366764775</v>
      </c>
      <c r="X163" s="238"/>
      <c r="Y163" s="297"/>
    </row>
    <row r="164" spans="13:25" hidden="1">
      <c r="M164" s="304">
        <f t="shared" si="38"/>
        <v>2.2582136496527845</v>
      </c>
      <c r="N164" s="305">
        <f t="shared" si="46"/>
        <v>2.2582136496527845</v>
      </c>
      <c r="O164" s="306">
        <f t="shared" si="39"/>
        <v>3.9413263399918796E-2</v>
      </c>
      <c r="P164" s="233">
        <f t="shared" si="40"/>
        <v>357.97538103208598</v>
      </c>
      <c r="Q164" s="234">
        <f t="shared" si="41"/>
        <v>344.81140845276457</v>
      </c>
      <c r="R164" s="234">
        <f t="shared" si="47"/>
        <v>60.901195295567646</v>
      </c>
      <c r="S164" s="235">
        <f t="shared" si="48"/>
        <v>22.596483998372857</v>
      </c>
      <c r="T164" s="236">
        <f t="shared" si="42"/>
        <v>2.024618967914023</v>
      </c>
      <c r="U164" s="237">
        <f t="shared" si="43"/>
        <v>15.188591547235433</v>
      </c>
      <c r="V164" s="238">
        <f t="shared" si="44"/>
        <v>-60.901195295567646</v>
      </c>
      <c r="W164" s="238">
        <f t="shared" si="45"/>
        <v>-22.596483998372857</v>
      </c>
      <c r="X164" s="238"/>
      <c r="Y164" s="297"/>
    </row>
    <row r="165" spans="13:25" hidden="1">
      <c r="M165" s="304">
        <f t="shared" si="38"/>
        <v>1.943188311911447</v>
      </c>
      <c r="N165" s="305">
        <f t="shared" si="46"/>
        <v>1.943188311911447</v>
      </c>
      <c r="O165" s="306">
        <f t="shared" si="39"/>
        <v>3.3915034029125296E-2</v>
      </c>
      <c r="P165" s="233">
        <f t="shared" si="40"/>
        <v>356.80216020427372</v>
      </c>
      <c r="Q165" s="234">
        <f t="shared" si="41"/>
        <v>345.98462928057683</v>
      </c>
      <c r="R165" s="234">
        <f t="shared" si="47"/>
        <v>60.522164228546728</v>
      </c>
      <c r="S165" s="235">
        <f t="shared" si="48"/>
        <v>22.975515065393758</v>
      </c>
      <c r="T165" s="236">
        <f t="shared" si="42"/>
        <v>3.1978397957262814</v>
      </c>
      <c r="U165" s="237">
        <f t="shared" si="43"/>
        <v>14.015370719423174</v>
      </c>
      <c r="V165" s="238">
        <f t="shared" si="44"/>
        <v>-60.522164228546728</v>
      </c>
      <c r="W165" s="238">
        <f t="shared" si="45"/>
        <v>-22.975515065393758</v>
      </c>
      <c r="X165" s="238"/>
      <c r="Y165" s="297"/>
    </row>
    <row r="166" spans="13:25" hidden="1">
      <c r="M166" s="304">
        <f t="shared" si="38"/>
        <v>1.6281629741701096</v>
      </c>
      <c r="N166" s="305">
        <f t="shared" si="46"/>
        <v>1.6281629741701096</v>
      </c>
      <c r="O166" s="306">
        <f t="shared" si="39"/>
        <v>2.8416804658331803E-2</v>
      </c>
      <c r="P166" s="233">
        <f t="shared" si="40"/>
        <v>355.26659112220426</v>
      </c>
      <c r="Q166" s="234">
        <f t="shared" si="41"/>
        <v>347.52019836264634</v>
      </c>
      <c r="R166" s="234">
        <f t="shared" si="47"/>
        <v>60.130475903967302</v>
      </c>
      <c r="S166" s="235">
        <f t="shared" si="48"/>
        <v>23.367203389973191</v>
      </c>
      <c r="T166" s="236">
        <f t="shared" si="42"/>
        <v>4.733408877795739</v>
      </c>
      <c r="U166" s="237">
        <f t="shared" si="43"/>
        <v>12.47980163735366</v>
      </c>
      <c r="V166" s="238">
        <f t="shared" si="44"/>
        <v>-60.130475903967302</v>
      </c>
      <c r="W166" s="238">
        <f t="shared" si="45"/>
        <v>-23.367203389973191</v>
      </c>
      <c r="X166" s="238"/>
      <c r="Y166" s="297"/>
    </row>
    <row r="167" spans="13:25" hidden="1">
      <c r="M167" s="304">
        <f t="shared" si="38"/>
        <v>1.3131376364287721</v>
      </c>
      <c r="N167" s="305">
        <f t="shared" si="46"/>
        <v>1.3131376364287721</v>
      </c>
      <c r="O167" s="306">
        <f t="shared" si="39"/>
        <v>2.2918575287538306E-2</v>
      </c>
      <c r="P167" s="233">
        <f t="shared" si="40"/>
        <v>352.14366725722721</v>
      </c>
      <c r="Q167" s="234">
        <f t="shared" si="41"/>
        <v>350.64312222762334</v>
      </c>
      <c r="R167" s="234">
        <f t="shared" si="47"/>
        <v>59.725292414303695</v>
      </c>
      <c r="S167" s="235">
        <f t="shared" si="48"/>
        <v>23.772386879636795</v>
      </c>
      <c r="T167" s="236">
        <f t="shared" si="42"/>
        <v>7.8563327427727927</v>
      </c>
      <c r="U167" s="237">
        <f t="shared" si="43"/>
        <v>9.356877772376663</v>
      </c>
      <c r="V167" s="238">
        <f t="shared" si="44"/>
        <v>-59.725292414303695</v>
      </c>
      <c r="W167" s="238">
        <f t="shared" si="45"/>
        <v>-23.772386879636795</v>
      </c>
      <c r="X167" s="238"/>
      <c r="Y167" s="297"/>
    </row>
    <row r="168" spans="13:25" hidden="1">
      <c r="M168" s="304">
        <f t="shared" si="38"/>
        <v>0.99811229868743467</v>
      </c>
      <c r="N168" s="305">
        <f t="shared" si="46"/>
        <v>0.99811229868743467</v>
      </c>
      <c r="O168" s="306">
        <f t="shared" si="39"/>
        <v>1.7420345916744812E-2</v>
      </c>
      <c r="P168" s="233" t="e">
        <f t="shared" si="40"/>
        <v>#N/A</v>
      </c>
      <c r="Q168" s="234" t="e">
        <f t="shared" si="41"/>
        <v>#N/A</v>
      </c>
      <c r="R168" s="234">
        <f t="shared" ref="R168:R193" si="49">IFERROR(DEGREES(grt_+ACOS((SIN(h_)-SIN(d_)*SIN(O168))/COS(d_)/COS(O168))),#N/A)</f>
        <v>59.305668008103716</v>
      </c>
      <c r="S168" s="235">
        <f t="shared" ref="S168:S193" si="50">IFERROR(DEGREES(grt_-ACOS((SIN(h_)-SIN(d_)*SIN(O168))/COS(d_)/COS(O168))),#N/A)</f>
        <v>24.192011285836784</v>
      </c>
      <c r="T168" s="236" t="e">
        <f t="shared" si="42"/>
        <v>#N/A</v>
      </c>
      <c r="U168" s="237" t="e">
        <f t="shared" si="43"/>
        <v>#N/A</v>
      </c>
      <c r="V168" s="238">
        <f t="shared" si="44"/>
        <v>-59.305668008103716</v>
      </c>
      <c r="W168" s="238">
        <f t="shared" si="45"/>
        <v>-24.192011285836784</v>
      </c>
      <c r="X168" s="238"/>
      <c r="Y168" s="297"/>
    </row>
    <row r="169" spans="13:25" hidden="1">
      <c r="M169" s="304">
        <f t="shared" si="38"/>
        <v>0.68308696094609722</v>
      </c>
      <c r="N169" s="305">
        <f t="shared" si="46"/>
        <v>0.68308696094609722</v>
      </c>
      <c r="O169" s="306">
        <f t="shared" si="39"/>
        <v>1.1922116545951317E-2</v>
      </c>
      <c r="P169" s="233" t="e">
        <f t="shared" si="40"/>
        <v>#N/A</v>
      </c>
      <c r="Q169" s="234" t="e">
        <f t="shared" si="41"/>
        <v>#N/A</v>
      </c>
      <c r="R169" s="234">
        <f t="shared" si="49"/>
        <v>58.870528582703599</v>
      </c>
      <c r="S169" s="235">
        <f t="shared" si="50"/>
        <v>24.627150711236901</v>
      </c>
      <c r="T169" s="236" t="e">
        <f t="shared" si="42"/>
        <v>#N/A</v>
      </c>
      <c r="U169" s="237" t="e">
        <f t="shared" si="43"/>
        <v>#N/A</v>
      </c>
      <c r="V169" s="238">
        <f t="shared" si="44"/>
        <v>-58.870528582703599</v>
      </c>
      <c r="W169" s="238">
        <f t="shared" si="45"/>
        <v>-24.627150711236901</v>
      </c>
      <c r="X169" s="238"/>
      <c r="Y169" s="297"/>
    </row>
    <row r="170" spans="13:25" hidden="1">
      <c r="M170" s="304">
        <f t="shared" si="38"/>
        <v>0.36806162320475982</v>
      </c>
      <c r="N170" s="305">
        <f t="shared" si="46"/>
        <v>0.36806162320475982</v>
      </c>
      <c r="O170" s="306">
        <f t="shared" si="39"/>
        <v>6.4238871751578219E-3</v>
      </c>
      <c r="P170" s="233" t="e">
        <f t="shared" si="40"/>
        <v>#N/A</v>
      </c>
      <c r="Q170" s="234" t="e">
        <f t="shared" si="41"/>
        <v>#N/A</v>
      </c>
      <c r="R170" s="234">
        <f t="shared" si="49"/>
        <v>58.418645835616132</v>
      </c>
      <c r="S170" s="235">
        <f t="shared" si="50"/>
        <v>25.079033458324371</v>
      </c>
      <c r="T170" s="236" t="e">
        <f t="shared" si="42"/>
        <v>#N/A</v>
      </c>
      <c r="U170" s="237" t="e">
        <f t="shared" si="43"/>
        <v>#N/A</v>
      </c>
      <c r="V170" s="238">
        <f t="shared" si="44"/>
        <v>-58.418645835616132</v>
      </c>
      <c r="W170" s="238">
        <f t="shared" si="45"/>
        <v>-25.079033458324371</v>
      </c>
      <c r="X170" s="238"/>
      <c r="Y170" s="297"/>
    </row>
    <row r="171" spans="13:25" hidden="1">
      <c r="M171" s="304">
        <f t="shared" si="38"/>
        <v>5.3036285463422428E-2</v>
      </c>
      <c r="N171" s="305">
        <f t="shared" si="46"/>
        <v>5.3036285463422428E-2</v>
      </c>
      <c r="O171" s="306">
        <f t="shared" si="39"/>
        <v>9.2565780436432805E-4</v>
      </c>
      <c r="P171" s="233" t="e">
        <f t="shared" si="40"/>
        <v>#N/A</v>
      </c>
      <c r="Q171" s="234" t="e">
        <f t="shared" si="41"/>
        <v>#N/A</v>
      </c>
      <c r="R171" s="234">
        <f t="shared" si="49"/>
        <v>57.948604265035399</v>
      </c>
      <c r="S171" s="235">
        <f t="shared" si="50"/>
        <v>25.549075028905097</v>
      </c>
      <c r="T171" s="236" t="e">
        <f t="shared" si="42"/>
        <v>#N/A</v>
      </c>
      <c r="U171" s="237" t="e">
        <f t="shared" si="43"/>
        <v>#N/A</v>
      </c>
      <c r="V171" s="238">
        <f t="shared" si="44"/>
        <v>-57.948604265035399</v>
      </c>
      <c r="W171" s="238">
        <f t="shared" si="45"/>
        <v>-25.549075028905097</v>
      </c>
      <c r="X171" s="238"/>
      <c r="Y171" s="297"/>
    </row>
    <row r="172" spans="13:25" hidden="1">
      <c r="M172" s="304">
        <f t="shared" si="38"/>
        <v>-0.26198905227791497</v>
      </c>
      <c r="N172" s="305">
        <f t="shared" si="46"/>
        <v>-0.26198905227791497</v>
      </c>
      <c r="O172" s="306">
        <f t="shared" si="39"/>
        <v>-4.5725715664291667E-3</v>
      </c>
      <c r="P172" s="233" t="e">
        <f t="shared" si="40"/>
        <v>#N/A</v>
      </c>
      <c r="Q172" s="234" t="e">
        <f t="shared" si="41"/>
        <v>#N/A</v>
      </c>
      <c r="R172" s="234">
        <f t="shared" si="49"/>
        <v>57.458758436402647</v>
      </c>
      <c r="S172" s="235">
        <f t="shared" si="50"/>
        <v>26.038920857537839</v>
      </c>
      <c r="T172" s="236" t="e">
        <f t="shared" si="42"/>
        <v>#N/A</v>
      </c>
      <c r="U172" s="237" t="e">
        <f t="shared" si="43"/>
        <v>#N/A</v>
      </c>
      <c r="V172" s="238">
        <f t="shared" si="44"/>
        <v>-57.458758436402647</v>
      </c>
      <c r="W172" s="238">
        <f t="shared" si="45"/>
        <v>-26.038920857537839</v>
      </c>
      <c r="X172" s="238"/>
      <c r="Y172" s="297"/>
    </row>
    <row r="173" spans="13:25" hidden="1">
      <c r="M173" s="304">
        <f t="shared" si="38"/>
        <v>-0.57701439001925237</v>
      </c>
      <c r="N173" s="305">
        <f t="shared" si="46"/>
        <v>-0.57701439001925237</v>
      </c>
      <c r="O173" s="306">
        <f t="shared" si="39"/>
        <v>-1.007080093722266E-2</v>
      </c>
      <c r="P173" s="233" t="e">
        <f t="shared" si="40"/>
        <v>#N/A</v>
      </c>
      <c r="Q173" s="234" t="e">
        <f t="shared" si="41"/>
        <v>#N/A</v>
      </c>
      <c r="R173" s="234">
        <f t="shared" si="49"/>
        <v>56.947176749549065</v>
      </c>
      <c r="S173" s="235">
        <f t="shared" si="50"/>
        <v>26.550502544391431</v>
      </c>
      <c r="T173" s="236" t="e">
        <f t="shared" si="42"/>
        <v>#N/A</v>
      </c>
      <c r="U173" s="237" t="e">
        <f t="shared" si="43"/>
        <v>#N/A</v>
      </c>
      <c r="V173" s="238">
        <f t="shared" si="44"/>
        <v>-56.947176749549065</v>
      </c>
      <c r="W173" s="238">
        <f t="shared" si="45"/>
        <v>-26.550502544391431</v>
      </c>
      <c r="X173" s="238"/>
      <c r="Y173" s="297"/>
    </row>
    <row r="174" spans="13:25" hidden="1">
      <c r="M174" s="304">
        <f t="shared" si="38"/>
        <v>-0.89203972776058982</v>
      </c>
      <c r="N174" s="305">
        <f t="shared" si="46"/>
        <v>-0.89203972776058982</v>
      </c>
      <c r="O174" s="306">
        <f t="shared" si="39"/>
        <v>-1.5569030308016155E-2</v>
      </c>
      <c r="P174" s="233" t="e">
        <f t="shared" si="40"/>
        <v>#N/A</v>
      </c>
      <c r="Q174" s="234" t="e">
        <f t="shared" si="41"/>
        <v>#N/A</v>
      </c>
      <c r="R174" s="234">
        <f t="shared" si="49"/>
        <v>56.411566085644708</v>
      </c>
      <c r="S174" s="235">
        <f t="shared" si="50"/>
        <v>27.086113208295785</v>
      </c>
      <c r="T174" s="236" t="e">
        <f t="shared" si="42"/>
        <v>#N/A</v>
      </c>
      <c r="U174" s="237" t="e">
        <f t="shared" si="43"/>
        <v>#N/A</v>
      </c>
      <c r="V174" s="238">
        <f t="shared" si="44"/>
        <v>-56.411566085644708</v>
      </c>
      <c r="W174" s="238">
        <f t="shared" si="45"/>
        <v>-27.086113208295785</v>
      </c>
      <c r="X174" s="238"/>
      <c r="Y174" s="297"/>
    </row>
    <row r="175" spans="13:25" hidden="1">
      <c r="M175" s="304">
        <f t="shared" si="38"/>
        <v>-1.2070650655019273</v>
      </c>
      <c r="N175" s="305">
        <f t="shared" si="46"/>
        <v>-1.2070650655019273</v>
      </c>
      <c r="O175" s="306">
        <f t="shared" si="39"/>
        <v>-2.1067259678809652E-2</v>
      </c>
      <c r="P175" s="233" t="e">
        <f t="shared" si="40"/>
        <v>#N/A</v>
      </c>
      <c r="Q175" s="234" t="e">
        <f t="shared" si="41"/>
        <v>#N/A</v>
      </c>
      <c r="R175" s="234">
        <f t="shared" si="49"/>
        <v>55.849168714825936</v>
      </c>
      <c r="S175" s="235">
        <f t="shared" si="50"/>
        <v>27.648510579114561</v>
      </c>
      <c r="T175" s="236" t="e">
        <f t="shared" si="42"/>
        <v>#N/A</v>
      </c>
      <c r="U175" s="237" t="e">
        <f t="shared" si="43"/>
        <v>#N/A</v>
      </c>
      <c r="V175" s="238">
        <f t="shared" si="44"/>
        <v>-55.849168714825936</v>
      </c>
      <c r="W175" s="238">
        <f t="shared" si="45"/>
        <v>-27.648510579114561</v>
      </c>
      <c r="X175" s="238"/>
      <c r="Y175" s="297"/>
    </row>
    <row r="176" spans="13:25" hidden="1">
      <c r="M176" s="304">
        <f t="shared" si="38"/>
        <v>-1.5220904032432647</v>
      </c>
      <c r="N176" s="305">
        <f t="shared" si="46"/>
        <v>-1.5220904032432647</v>
      </c>
      <c r="O176" s="306">
        <f t="shared" si="39"/>
        <v>-2.6565489049603146E-2</v>
      </c>
      <c r="P176" s="233" t="e">
        <f t="shared" si="40"/>
        <v>#N/A</v>
      </c>
      <c r="Q176" s="234" t="e">
        <f t="shared" si="41"/>
        <v>#N/A</v>
      </c>
      <c r="R176" s="234">
        <f t="shared" si="49"/>
        <v>55.256617833050782</v>
      </c>
      <c r="S176" s="235">
        <f t="shared" si="50"/>
        <v>28.241061460889714</v>
      </c>
      <c r="T176" s="236" t="e">
        <f t="shared" si="42"/>
        <v>#N/A</v>
      </c>
      <c r="U176" s="237" t="e">
        <f t="shared" si="43"/>
        <v>#N/A</v>
      </c>
      <c r="V176" s="238">
        <f t="shared" si="44"/>
        <v>-55.256617833050782</v>
      </c>
      <c r="W176" s="238">
        <f t="shared" si="45"/>
        <v>-28.241061460889714</v>
      </c>
      <c r="X176" s="238"/>
      <c r="Y176" s="297"/>
    </row>
    <row r="177" spans="12:25" hidden="1">
      <c r="M177" s="304">
        <f t="shared" ref="M177:M193" si="51">IF(N177&gt;maxn,maxn,IF(N177&lt;mins,mins,N177))</f>
        <v>-1.8371157409846022</v>
      </c>
      <c r="N177" s="305">
        <f t="shared" si="46"/>
        <v>-1.8371157409846022</v>
      </c>
      <c r="O177" s="306">
        <f t="shared" ref="O177:O193" si="52">RADIANS(M177)</f>
        <v>-3.2063718420396639E-2</v>
      </c>
      <c r="P177" s="233" t="e">
        <f t="shared" ref="P177:P193" si="53">IFERROR(DEGREES(grt+ACOS((SIN(h)-SIN(d)*SIN(O177))/COS(d)/COS(O177))),#N/A)</f>
        <v>#N/A</v>
      </c>
      <c r="Q177" s="234" t="e">
        <f t="shared" ref="Q177:Q193" si="54">IFERROR(DEGREES(grt-ACOS((SIN(h)-SIN(d)*SIN(O177))/COS(d)/COS(O177))),#N/A)</f>
        <v>#N/A</v>
      </c>
      <c r="R177" s="234">
        <f t="shared" si="49"/>
        <v>54.629729383643635</v>
      </c>
      <c r="S177" s="235">
        <f t="shared" si="50"/>
        <v>28.867949910296861</v>
      </c>
      <c r="T177" s="236" t="e">
        <f t="shared" ref="T177:T193" si="55">IF(P177&lt;0,ABS(P177),IF(P177&gt;360,-(P177-360),IF(AND(P177&gt;180,P177&lt;360),ABS(360-P177),-P177)))</f>
        <v>#N/A</v>
      </c>
      <c r="U177" s="237" t="e">
        <f t="shared" ref="U177:U193" si="56">IF(Q177&lt;0,ABS(Q177),IF(Q177&gt;360,Q177-(Q177-360),IF(AND(Q177&gt;180,Q177&lt;360),ABS(360-Q177),-Q177)))</f>
        <v>#N/A</v>
      </c>
      <c r="V177" s="238">
        <f t="shared" ref="V177:V193" si="57">IF(R177&lt;0,ABS(R177),IF(R177&gt;360,-(R177-360),IF(AND(R177&gt;180,R177&lt;360),ABS(360-R177),-R177)))</f>
        <v>-54.629729383643635</v>
      </c>
      <c r="W177" s="238">
        <f t="shared" ref="W177:W193" si="58">IF(S177&lt;0,ABS(S177),IF(S177&gt;360,-(S177-360),IF(AND(S177&gt;180,S177&lt;360),ABS(360-S177),-S177)))</f>
        <v>-28.867949910296861</v>
      </c>
      <c r="X177" s="238"/>
      <c r="Y177" s="297"/>
    </row>
    <row r="178" spans="12:25" hidden="1">
      <c r="M178" s="304">
        <f t="shared" si="51"/>
        <v>-2.1521410787259394</v>
      </c>
      <c r="N178" s="305">
        <f t="shared" si="46"/>
        <v>-2.1521410787259394</v>
      </c>
      <c r="O178" s="306">
        <f t="shared" si="52"/>
        <v>-3.7561947791190133E-2</v>
      </c>
      <c r="P178" s="233" t="e">
        <f t="shared" si="53"/>
        <v>#N/A</v>
      </c>
      <c r="Q178" s="234" t="e">
        <f t="shared" si="54"/>
        <v>#N/A</v>
      </c>
      <c r="R178" s="234">
        <f t="shared" si="49"/>
        <v>53.963191963579938</v>
      </c>
      <c r="S178" s="235">
        <f t="shared" si="50"/>
        <v>29.534487330360559</v>
      </c>
      <c r="T178" s="236" t="e">
        <f t="shared" si="55"/>
        <v>#N/A</v>
      </c>
      <c r="U178" s="237" t="e">
        <f t="shared" si="56"/>
        <v>#N/A</v>
      </c>
      <c r="V178" s="238">
        <f t="shared" si="57"/>
        <v>-53.963191963579938</v>
      </c>
      <c r="W178" s="238">
        <f t="shared" si="58"/>
        <v>-29.534487330360559</v>
      </c>
      <c r="X178" s="238"/>
      <c r="Y178" s="297"/>
    </row>
    <row r="179" spans="12:25" hidden="1">
      <c r="M179" s="304">
        <f t="shared" si="51"/>
        <v>-2.4671664164672769</v>
      </c>
      <c r="N179" s="305">
        <f t="shared" si="46"/>
        <v>-2.4671664164672769</v>
      </c>
      <c r="O179" s="306">
        <f t="shared" si="52"/>
        <v>-4.3060177161983626E-2</v>
      </c>
      <c r="P179" s="233" t="e">
        <f t="shared" si="53"/>
        <v>#N/A</v>
      </c>
      <c r="Q179" s="234" t="e">
        <f t="shared" si="54"/>
        <v>#N/A</v>
      </c>
      <c r="R179" s="234">
        <f t="shared" si="49"/>
        <v>53.250086149944387</v>
      </c>
      <c r="S179" s="235">
        <f t="shared" si="50"/>
        <v>30.247593143996109</v>
      </c>
      <c r="T179" s="236" t="e">
        <f t="shared" si="55"/>
        <v>#N/A</v>
      </c>
      <c r="U179" s="237" t="e">
        <f t="shared" si="56"/>
        <v>#N/A</v>
      </c>
      <c r="V179" s="238">
        <f t="shared" si="57"/>
        <v>-53.250086149944387</v>
      </c>
      <c r="W179" s="238">
        <f t="shared" si="58"/>
        <v>-30.247593143996109</v>
      </c>
      <c r="X179" s="238"/>
      <c r="Y179" s="297"/>
    </row>
    <row r="180" spans="12:25" hidden="1">
      <c r="M180" s="304">
        <f t="shared" si="51"/>
        <v>-2.7821917542086143</v>
      </c>
      <c r="N180" s="305">
        <f t="shared" si="46"/>
        <v>-2.7821917542086143</v>
      </c>
      <c r="O180" s="306">
        <f t="shared" si="52"/>
        <v>-4.8558406532777126E-2</v>
      </c>
      <c r="P180" s="233" t="e">
        <f t="shared" si="53"/>
        <v>#N/A</v>
      </c>
      <c r="Q180" s="234" t="e">
        <f t="shared" si="54"/>
        <v>#N/A</v>
      </c>
      <c r="R180" s="234">
        <f t="shared" si="49"/>
        <v>52.481102065909241</v>
      </c>
      <c r="S180" s="235">
        <f t="shared" si="50"/>
        <v>31.016577228031256</v>
      </c>
      <c r="T180" s="236" t="e">
        <f t="shared" si="55"/>
        <v>#N/A</v>
      </c>
      <c r="U180" s="237" t="e">
        <f t="shared" si="56"/>
        <v>#N/A</v>
      </c>
      <c r="V180" s="238">
        <f t="shared" si="57"/>
        <v>-52.481102065909241</v>
      </c>
      <c r="W180" s="238">
        <f t="shared" si="58"/>
        <v>-31.016577228031256</v>
      </c>
      <c r="X180" s="238"/>
      <c r="Y180" s="297"/>
    </row>
    <row r="181" spans="12:25" hidden="1">
      <c r="M181" s="304">
        <f t="shared" si="51"/>
        <v>-3.0972170919499518</v>
      </c>
      <c r="N181" s="305">
        <f t="shared" si="46"/>
        <v>-3.0972170919499518</v>
      </c>
      <c r="O181" s="306">
        <f t="shared" si="52"/>
        <v>-5.405663590357062E-2</v>
      </c>
      <c r="P181" s="233" t="e">
        <f t="shared" si="53"/>
        <v>#N/A</v>
      </c>
      <c r="Q181" s="234" t="e">
        <f t="shared" si="54"/>
        <v>#N/A</v>
      </c>
      <c r="R181" s="234">
        <f t="shared" si="49"/>
        <v>51.643184820790523</v>
      </c>
      <c r="S181" s="235">
        <f t="shared" si="50"/>
        <v>31.85449447314997</v>
      </c>
      <c r="T181" s="236" t="e">
        <f t="shared" si="55"/>
        <v>#N/A</v>
      </c>
      <c r="U181" s="237" t="e">
        <f t="shared" si="56"/>
        <v>#N/A</v>
      </c>
      <c r="V181" s="238">
        <f t="shared" si="57"/>
        <v>-51.643184820790523</v>
      </c>
      <c r="W181" s="238">
        <f t="shared" si="58"/>
        <v>-31.85449447314997</v>
      </c>
      <c r="X181" s="238"/>
      <c r="Y181" s="297"/>
    </row>
    <row r="182" spans="12:25" hidden="1">
      <c r="M182" s="304">
        <f t="shared" si="51"/>
        <v>-3.4122424296912892</v>
      </c>
      <c r="N182" s="305">
        <f t="shared" si="46"/>
        <v>-3.4122424296912892</v>
      </c>
      <c r="O182" s="306">
        <f t="shared" si="52"/>
        <v>-5.9554865274364113E-2</v>
      </c>
      <c r="P182" s="233" t="e">
        <f t="shared" si="53"/>
        <v>#N/A</v>
      </c>
      <c r="Q182" s="234" t="e">
        <f t="shared" si="54"/>
        <v>#N/A</v>
      </c>
      <c r="R182" s="234">
        <f t="shared" si="49"/>
        <v>50.716993566572256</v>
      </c>
      <c r="S182" s="235">
        <f t="shared" si="50"/>
        <v>32.780685727368237</v>
      </c>
      <c r="T182" s="236" t="e">
        <f t="shared" si="55"/>
        <v>#N/A</v>
      </c>
      <c r="U182" s="237" t="e">
        <f t="shared" si="56"/>
        <v>#N/A</v>
      </c>
      <c r="V182" s="238">
        <f t="shared" si="57"/>
        <v>-50.716993566572256</v>
      </c>
      <c r="W182" s="238">
        <f t="shared" si="58"/>
        <v>-32.780685727368237</v>
      </c>
      <c r="X182" s="238"/>
      <c r="Y182" s="297"/>
    </row>
    <row r="183" spans="12:25" hidden="1">
      <c r="M183" s="304">
        <f t="shared" si="51"/>
        <v>-3.7272677674326267</v>
      </c>
      <c r="N183" s="305">
        <f t="shared" si="46"/>
        <v>-3.7272677674326267</v>
      </c>
      <c r="O183" s="306">
        <f t="shared" si="52"/>
        <v>-6.5053094645157614E-2</v>
      </c>
      <c r="P183" s="233" t="e">
        <f t="shared" si="53"/>
        <v>#N/A</v>
      </c>
      <c r="Q183" s="234" t="e">
        <f t="shared" si="54"/>
        <v>#N/A</v>
      </c>
      <c r="R183" s="234">
        <f t="shared" si="49"/>
        <v>49.671583647022906</v>
      </c>
      <c r="S183" s="235">
        <f t="shared" si="50"/>
        <v>33.826095646917587</v>
      </c>
      <c r="T183" s="236" t="e">
        <f t="shared" si="55"/>
        <v>#N/A</v>
      </c>
      <c r="U183" s="237" t="e">
        <f t="shared" si="56"/>
        <v>#N/A</v>
      </c>
      <c r="V183" s="238">
        <f t="shared" si="57"/>
        <v>-49.671583647022906</v>
      </c>
      <c r="W183" s="238">
        <f t="shared" si="58"/>
        <v>-33.826095646917587</v>
      </c>
      <c r="X183" s="238"/>
      <c r="Y183" s="297"/>
    </row>
    <row r="184" spans="12:25" hidden="1">
      <c r="M184" s="304">
        <f t="shared" si="51"/>
        <v>-4.0422931051739637</v>
      </c>
      <c r="N184" s="305">
        <f t="shared" si="46"/>
        <v>-4.0422931051739637</v>
      </c>
      <c r="O184" s="306">
        <f t="shared" si="52"/>
        <v>-7.05513240159511E-2</v>
      </c>
      <c r="P184" s="233" t="e">
        <f t="shared" si="53"/>
        <v>#N/A</v>
      </c>
      <c r="Q184" s="234" t="e">
        <f t="shared" si="54"/>
        <v>#N/A</v>
      </c>
      <c r="R184" s="234">
        <f t="shared" si="49"/>
        <v>48.451344194384085</v>
      </c>
      <c r="S184" s="235">
        <f t="shared" si="50"/>
        <v>35.046335099556416</v>
      </c>
      <c r="T184" s="236" t="e">
        <f t="shared" si="55"/>
        <v>#N/A</v>
      </c>
      <c r="U184" s="237" t="e">
        <f t="shared" si="56"/>
        <v>#N/A</v>
      </c>
      <c r="V184" s="238">
        <f t="shared" si="57"/>
        <v>-48.451344194384085</v>
      </c>
      <c r="W184" s="238">
        <f t="shared" si="58"/>
        <v>-35.046335099556416</v>
      </c>
      <c r="X184" s="238"/>
      <c r="Y184" s="297"/>
    </row>
    <row r="185" spans="12:25" hidden="1">
      <c r="M185" s="304">
        <f t="shared" si="51"/>
        <v>-4.3573184429153011</v>
      </c>
      <c r="N185" s="305">
        <f t="shared" si="46"/>
        <v>-4.3573184429153011</v>
      </c>
      <c r="O185" s="306">
        <f t="shared" si="52"/>
        <v>-7.6049553386744587E-2</v>
      </c>
      <c r="P185" s="233" t="e">
        <f t="shared" si="53"/>
        <v>#N/A</v>
      </c>
      <c r="Q185" s="234" t="e">
        <f t="shared" si="54"/>
        <v>#N/A</v>
      </c>
      <c r="R185" s="234">
        <f t="shared" si="49"/>
        <v>46.934211646191955</v>
      </c>
      <c r="S185" s="235">
        <f t="shared" si="50"/>
        <v>36.563467647748539</v>
      </c>
      <c r="T185" s="236" t="e">
        <f t="shared" si="55"/>
        <v>#N/A</v>
      </c>
      <c r="U185" s="237" t="e">
        <f t="shared" si="56"/>
        <v>#N/A</v>
      </c>
      <c r="V185" s="238">
        <f t="shared" si="57"/>
        <v>-46.934211646191955</v>
      </c>
      <c r="W185" s="238">
        <f t="shared" si="58"/>
        <v>-36.563467647748539</v>
      </c>
      <c r="X185" s="238"/>
      <c r="Y185" s="297"/>
    </row>
    <row r="186" spans="12:25" hidden="1">
      <c r="M186" s="304">
        <f t="shared" si="51"/>
        <v>-4.6723437806566386</v>
      </c>
      <c r="N186" s="305">
        <f t="shared" si="46"/>
        <v>-4.6723437806566386</v>
      </c>
      <c r="O186" s="306">
        <f t="shared" si="52"/>
        <v>-8.1547782757538087E-2</v>
      </c>
      <c r="P186" s="233" t="e">
        <f t="shared" si="53"/>
        <v>#N/A</v>
      </c>
      <c r="Q186" s="234" t="e">
        <f t="shared" si="54"/>
        <v>#N/A</v>
      </c>
      <c r="R186" s="234">
        <f t="shared" si="49"/>
        <v>44.692070745347372</v>
      </c>
      <c r="S186" s="235">
        <f t="shared" si="50"/>
        <v>38.805608548593121</v>
      </c>
      <c r="T186" s="236" t="e">
        <f t="shared" si="55"/>
        <v>#N/A</v>
      </c>
      <c r="U186" s="237" t="e">
        <f t="shared" si="56"/>
        <v>#N/A</v>
      </c>
      <c r="V186" s="238">
        <f t="shared" si="57"/>
        <v>-44.692070745347372</v>
      </c>
      <c r="W186" s="238">
        <f t="shared" si="58"/>
        <v>-38.805608548593121</v>
      </c>
      <c r="X186" s="238"/>
      <c r="Y186" s="297"/>
    </row>
    <row r="187" spans="12:25" hidden="1">
      <c r="M187" s="304">
        <f t="shared" si="51"/>
        <v>-4.8109321746560827</v>
      </c>
      <c r="N187" s="305">
        <f t="shared" si="46"/>
        <v>-4.987369118397976</v>
      </c>
      <c r="O187" s="306">
        <f t="shared" si="52"/>
        <v>-8.3966606537879546E-2</v>
      </c>
      <c r="P187" s="233" t="e">
        <f t="shared" si="53"/>
        <v>#N/A</v>
      </c>
      <c r="Q187" s="234" t="e">
        <f t="shared" si="54"/>
        <v>#N/A</v>
      </c>
      <c r="R187" s="234">
        <f t="shared" si="49"/>
        <v>42.513253058307384</v>
      </c>
      <c r="S187" s="235">
        <f t="shared" si="50"/>
        <v>40.984426235633109</v>
      </c>
      <c r="T187" s="236" t="e">
        <f t="shared" si="55"/>
        <v>#N/A</v>
      </c>
      <c r="U187" s="237" t="e">
        <f t="shared" si="56"/>
        <v>#N/A</v>
      </c>
      <c r="V187" s="238">
        <f t="shared" si="57"/>
        <v>-42.513253058307384</v>
      </c>
      <c r="W187" s="238">
        <f t="shared" si="58"/>
        <v>-40.984426235633109</v>
      </c>
      <c r="X187" s="238"/>
      <c r="Y187" s="297"/>
    </row>
    <row r="188" spans="12:25" hidden="1">
      <c r="M188" s="304">
        <f t="shared" si="51"/>
        <v>-4.8109321746560827</v>
      </c>
      <c r="N188" s="305">
        <f t="shared" si="46"/>
        <v>-5.3023944561393135</v>
      </c>
      <c r="O188" s="306">
        <f t="shared" si="52"/>
        <v>-8.3966606537879546E-2</v>
      </c>
      <c r="P188" s="233" t="e">
        <f t="shared" si="53"/>
        <v>#N/A</v>
      </c>
      <c r="Q188" s="234" t="e">
        <f t="shared" si="54"/>
        <v>#N/A</v>
      </c>
      <c r="R188" s="234">
        <f t="shared" si="49"/>
        <v>42.513253058307384</v>
      </c>
      <c r="S188" s="235">
        <f t="shared" si="50"/>
        <v>40.984426235633109</v>
      </c>
      <c r="T188" s="236" t="e">
        <f t="shared" si="55"/>
        <v>#N/A</v>
      </c>
      <c r="U188" s="237" t="e">
        <f t="shared" si="56"/>
        <v>#N/A</v>
      </c>
      <c r="V188" s="238">
        <f t="shared" si="57"/>
        <v>-42.513253058307384</v>
      </c>
      <c r="W188" s="238">
        <f t="shared" si="58"/>
        <v>-40.984426235633109</v>
      </c>
      <c r="X188" s="238"/>
      <c r="Y188" s="297"/>
    </row>
    <row r="189" spans="12:25" hidden="1">
      <c r="M189" s="304">
        <f t="shared" si="51"/>
        <v>-4.8109321746560827</v>
      </c>
      <c r="N189" s="305">
        <f t="shared" si="46"/>
        <v>-5.6174197938806509</v>
      </c>
      <c r="O189" s="306">
        <f t="shared" si="52"/>
        <v>-8.3966606537879546E-2</v>
      </c>
      <c r="P189" s="233" t="e">
        <f t="shared" si="53"/>
        <v>#N/A</v>
      </c>
      <c r="Q189" s="234" t="e">
        <f t="shared" si="54"/>
        <v>#N/A</v>
      </c>
      <c r="R189" s="234">
        <f t="shared" si="49"/>
        <v>42.513253058307384</v>
      </c>
      <c r="S189" s="235">
        <f t="shared" si="50"/>
        <v>40.984426235633109</v>
      </c>
      <c r="T189" s="236" t="e">
        <f t="shared" si="55"/>
        <v>#N/A</v>
      </c>
      <c r="U189" s="237" t="e">
        <f t="shared" si="56"/>
        <v>#N/A</v>
      </c>
      <c r="V189" s="238">
        <f t="shared" si="57"/>
        <v>-42.513253058307384</v>
      </c>
      <c r="W189" s="238">
        <f t="shared" si="58"/>
        <v>-40.984426235633109</v>
      </c>
      <c r="X189" s="238"/>
      <c r="Y189" s="297"/>
    </row>
    <row r="190" spans="12:25">
      <c r="M190" s="304">
        <f t="shared" si="51"/>
        <v>-4.8109321746560827</v>
      </c>
      <c r="N190" s="305">
        <f t="shared" si="46"/>
        <v>-5.9324451316219884</v>
      </c>
      <c r="O190" s="306">
        <f t="shared" si="52"/>
        <v>-8.3966606537879546E-2</v>
      </c>
      <c r="P190" s="233" t="e">
        <f t="shared" si="53"/>
        <v>#N/A</v>
      </c>
      <c r="Q190" s="234" t="e">
        <f t="shared" si="54"/>
        <v>#N/A</v>
      </c>
      <c r="R190" s="234">
        <f t="shared" si="49"/>
        <v>42.513253058307384</v>
      </c>
      <c r="S190" s="235">
        <f t="shared" si="50"/>
        <v>40.984426235633109</v>
      </c>
      <c r="T190" s="236" t="e">
        <f t="shared" si="55"/>
        <v>#N/A</v>
      </c>
      <c r="U190" s="237" t="e">
        <f t="shared" si="56"/>
        <v>#N/A</v>
      </c>
      <c r="V190" s="238">
        <f t="shared" si="57"/>
        <v>-42.513253058307384</v>
      </c>
      <c r="W190" s="238">
        <f t="shared" si="58"/>
        <v>-40.984426235633109</v>
      </c>
      <c r="X190" s="238"/>
      <c r="Y190" s="297"/>
    </row>
    <row r="191" spans="12:25" ht="17" thickBot="1">
      <c r="M191" s="304">
        <f t="shared" si="51"/>
        <v>-4.8109321746560827</v>
      </c>
      <c r="N191" s="305">
        <f t="shared" si="46"/>
        <v>-6.2474704693633258</v>
      </c>
      <c r="O191" s="306">
        <f t="shared" si="52"/>
        <v>-8.3966606537879546E-2</v>
      </c>
      <c r="P191" s="233" t="e">
        <f t="shared" si="53"/>
        <v>#N/A</v>
      </c>
      <c r="Q191" s="234" t="e">
        <f t="shared" si="54"/>
        <v>#N/A</v>
      </c>
      <c r="R191" s="234">
        <f t="shared" si="49"/>
        <v>42.513253058307384</v>
      </c>
      <c r="S191" s="235">
        <f t="shared" si="50"/>
        <v>40.984426235633109</v>
      </c>
      <c r="T191" s="236" t="e">
        <f t="shared" si="55"/>
        <v>#N/A</v>
      </c>
      <c r="U191" s="237" t="e">
        <f t="shared" si="56"/>
        <v>#N/A</v>
      </c>
      <c r="V191" s="238">
        <f t="shared" si="57"/>
        <v>-42.513253058307384</v>
      </c>
      <c r="W191" s="238">
        <f t="shared" si="58"/>
        <v>-40.984426235633109</v>
      </c>
      <c r="X191" s="238"/>
      <c r="Y191" s="297"/>
    </row>
    <row r="192" spans="12:25">
      <c r="L192" s="276">
        <f>IFERROR(-90+DEGREES(h_)+DEGREES(d_)+0.01,0)</f>
        <v>-4.8109321746560827</v>
      </c>
      <c r="M192" s="304">
        <f t="shared" si="51"/>
        <v>-4.8109321746560827</v>
      </c>
      <c r="N192" s="305">
        <f t="shared" si="46"/>
        <v>-6.5624958071046633</v>
      </c>
      <c r="O192" s="306">
        <f t="shared" si="52"/>
        <v>-8.3966606537879546E-2</v>
      </c>
      <c r="P192" s="233" t="e">
        <f t="shared" si="53"/>
        <v>#N/A</v>
      </c>
      <c r="Q192" s="234" t="e">
        <f t="shared" si="54"/>
        <v>#N/A</v>
      </c>
      <c r="R192" s="234">
        <f t="shared" si="49"/>
        <v>42.513253058307384</v>
      </c>
      <c r="S192" s="235">
        <f t="shared" si="50"/>
        <v>40.984426235633109</v>
      </c>
      <c r="T192" s="236" t="e">
        <f t="shared" si="55"/>
        <v>#N/A</v>
      </c>
      <c r="U192" s="237" t="e">
        <f t="shared" si="56"/>
        <v>#N/A</v>
      </c>
      <c r="V192" s="238">
        <f t="shared" si="57"/>
        <v>-42.513253058307384</v>
      </c>
      <c r="W192" s="238">
        <f t="shared" si="58"/>
        <v>-40.984426235633109</v>
      </c>
      <c r="X192" s="238"/>
      <c r="Y192" s="297"/>
    </row>
    <row r="193" spans="12:25" ht="17" thickBot="1">
      <c r="L193" s="277">
        <f>IFERROR(-90+DEGREES(h)+DEGREES(d)+0.01,0)</f>
        <v>1.3109376364288059</v>
      </c>
      <c r="M193" s="307">
        <f t="shared" si="51"/>
        <v>-4.8109321746560827</v>
      </c>
      <c r="N193" s="308">
        <f t="shared" si="46"/>
        <v>-6.8775211448460007</v>
      </c>
      <c r="O193" s="309">
        <f t="shared" si="52"/>
        <v>-8.3966606537879546E-2</v>
      </c>
      <c r="P193" s="278" t="e">
        <f t="shared" si="53"/>
        <v>#N/A</v>
      </c>
      <c r="Q193" s="279" t="e">
        <f t="shared" si="54"/>
        <v>#N/A</v>
      </c>
      <c r="R193" s="279">
        <f t="shared" si="49"/>
        <v>42.513253058307384</v>
      </c>
      <c r="S193" s="280">
        <f t="shared" si="50"/>
        <v>40.984426235633109</v>
      </c>
      <c r="T193" s="281" t="e">
        <f t="shared" si="55"/>
        <v>#N/A</v>
      </c>
      <c r="U193" s="282" t="e">
        <f t="shared" si="56"/>
        <v>#N/A</v>
      </c>
      <c r="V193" s="283">
        <f t="shared" si="57"/>
        <v>-42.513253058307384</v>
      </c>
      <c r="W193" s="283">
        <f t="shared" si="58"/>
        <v>-40.984426235633109</v>
      </c>
      <c r="X193" s="298"/>
      <c r="Y193" s="299"/>
    </row>
    <row r="194" spans="12:25">
      <c r="M194" s="290">
        <f>lat</f>
        <v>34.738892287452941</v>
      </c>
      <c r="N194" s="291"/>
      <c r="O194" s="292"/>
      <c r="P194" s="291"/>
      <c r="Q194" s="293"/>
      <c r="R194" s="293"/>
      <c r="S194" s="291"/>
      <c r="T194" s="294"/>
      <c r="U194" s="294"/>
      <c r="V194" s="295"/>
      <c r="W194" s="295"/>
      <c r="X194" s="317">
        <f>IFERROR(lon,#N/A)</f>
        <v>-12.663059250695477</v>
      </c>
      <c r="Y194" s="296"/>
    </row>
    <row r="195" spans="12:25">
      <c r="M195" s="310">
        <f>d°</f>
        <v>23.047685940581083</v>
      </c>
      <c r="N195" s="311"/>
      <c r="O195" s="311"/>
      <c r="P195" s="311"/>
      <c r="Q195" s="311"/>
      <c r="R195" s="311"/>
      <c r="S195" s="311"/>
      <c r="T195" s="311"/>
      <c r="U195" s="311"/>
      <c r="V195" s="311"/>
      <c r="W195" s="311"/>
      <c r="X195" s="311"/>
      <c r="Y195" s="312">
        <f>IF(Grt°&lt;180,-Grt°,360-Grt°)</f>
        <v>8.6066052575746994</v>
      </c>
    </row>
    <row r="196" spans="12:25" ht="17" thickBot="1">
      <c r="M196" s="313">
        <f>d°_</f>
        <v>23.057808087154509</v>
      </c>
      <c r="N196" s="314"/>
      <c r="O196" s="314"/>
      <c r="P196" s="315"/>
      <c r="Q196" s="315"/>
      <c r="R196" s="315"/>
      <c r="S196" s="315"/>
      <c r="T196" s="315"/>
      <c r="U196" s="315"/>
      <c r="V196" s="315"/>
      <c r="W196" s="315"/>
      <c r="X196" s="315"/>
      <c r="Y196" s="316">
        <f>IF(Grt°_&lt;180,-Grt°_,360-Grt°_)</f>
        <v>-41.748839646970247</v>
      </c>
    </row>
    <row r="197" spans="12:25"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</row>
  </sheetData>
  <sheetProtection algorithmName="SHA-512" hashValue="giAoF6syOYFcl86cssZHcknhrWSOUXJgzfiLpmcjfnFu5QXZth9HzvrSm9r46RDevjnxluWrScJ0L0mpjOM20g==" saltValue="1PGPY9LZfqqUnDTJetQ+9w==" spinCount="100000" sheet="1" objects="1" scenarios="1" selectLockedCells="1" selectUnlockedCells="1"/>
  <mergeCells count="1">
    <mergeCell ref="H2:J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84</vt:i4>
      </vt:variant>
    </vt:vector>
  </HeadingPairs>
  <TitlesOfParts>
    <vt:vector size="87" baseType="lpstr">
      <vt:lpstr>Navigation</vt:lpstr>
      <vt:lpstr>Standortgrafik</vt:lpstr>
      <vt:lpstr>globale Grafik</vt:lpstr>
      <vt:lpstr>_A1</vt:lpstr>
      <vt:lpstr>_A2</vt:lpstr>
      <vt:lpstr>_A3</vt:lpstr>
      <vt:lpstr>_A4</vt:lpstr>
      <vt:lpstr>_B1</vt:lpstr>
      <vt:lpstr>_B2</vt:lpstr>
      <vt:lpstr>_B3</vt:lpstr>
      <vt:lpstr>_B4</vt:lpstr>
      <vt:lpstr>_dek1</vt:lpstr>
      <vt:lpstr>_l</vt:lpstr>
      <vt:lpstr>_ls</vt:lpstr>
      <vt:lpstr>_p1</vt:lpstr>
      <vt:lpstr>_p2</vt:lpstr>
      <vt:lpstr>_s1</vt:lpstr>
      <vt:lpstr>_s1v</vt:lpstr>
      <vt:lpstr>_s2</vt:lpstr>
      <vt:lpstr>_T1</vt:lpstr>
      <vt:lpstr>_T2</vt:lpstr>
      <vt:lpstr>add</vt:lpstr>
      <vt:lpstr>Az</vt:lpstr>
      <vt:lpstr>Az_°</vt:lpstr>
      <vt:lpstr>Az°</vt:lpstr>
      <vt:lpstr>B</vt:lpstr>
      <vt:lpstr>B_</vt:lpstr>
      <vt:lpstr>BB</vt:lpstr>
      <vt:lpstr>cmg</vt:lpstr>
      <vt:lpstr>d</vt:lpstr>
      <vt:lpstr>d_</vt:lpstr>
      <vt:lpstr>d°</vt:lpstr>
      <vt:lpstr>d°_</vt:lpstr>
      <vt:lpstr>dat</vt:lpstr>
      <vt:lpstr>dat_</vt:lpstr>
      <vt:lpstr>deka</vt:lpstr>
      <vt:lpstr>dira</vt:lpstr>
      <vt:lpstr>dmg</vt:lpstr>
      <vt:lpstr>F</vt:lpstr>
      <vt:lpstr>G</vt:lpstr>
      <vt:lpstr>grt</vt:lpstr>
      <vt:lpstr>grt_</vt:lpstr>
      <vt:lpstr>Grt°</vt:lpstr>
      <vt:lpstr>Grt°_</vt:lpstr>
      <vt:lpstr>grta</vt:lpstr>
      <vt:lpstr>Gs</vt:lpstr>
      <vt:lpstr>h</vt:lpstr>
      <vt:lpstr>h_</vt:lpstr>
      <vt:lpstr>h_°</vt:lpstr>
      <vt:lpstr>h°</vt:lpstr>
      <vt:lpstr>hma</vt:lpstr>
      <vt:lpstr>hmav</vt:lpstr>
      <vt:lpstr>hs</vt:lpstr>
      <vt:lpstr>hs°</vt:lpstr>
      <vt:lpstr>j</vt:lpstr>
      <vt:lpstr>js</vt:lpstr>
      <vt:lpstr>K</vt:lpstr>
      <vt:lpstr>lam0</vt:lpstr>
      <vt:lpstr>lam0s</vt:lpstr>
      <vt:lpstr>lat</vt:lpstr>
      <vt:lpstr>lat°</vt:lpstr>
      <vt:lpstr>LHA</vt:lpstr>
      <vt:lpstr>LHA_</vt:lpstr>
      <vt:lpstr>LHA°</vt:lpstr>
      <vt:lpstr>LHA°_</vt:lpstr>
      <vt:lpstr>LHAa</vt:lpstr>
      <vt:lpstr>lon</vt:lpstr>
      <vt:lpstr>ls</vt:lpstr>
      <vt:lpstr>maxn</vt:lpstr>
      <vt:lpstr>maxs</vt:lpstr>
      <vt:lpstr>minn</vt:lpstr>
      <vt:lpstr>mins</vt:lpstr>
      <vt:lpstr>ot</vt:lpstr>
      <vt:lpstr>ot_</vt:lpstr>
      <vt:lpstr>P</vt:lpstr>
      <vt:lpstr>q</vt:lpstr>
      <vt:lpstr>ref</vt:lpstr>
      <vt:lpstr>step</vt:lpstr>
      <vt:lpstr>t</vt:lpstr>
      <vt:lpstr>TG</vt:lpstr>
      <vt:lpstr>V</vt:lpstr>
      <vt:lpstr>var</vt:lpstr>
      <vt:lpstr>vb</vt:lpstr>
      <vt:lpstr>vl</vt:lpstr>
      <vt:lpstr>W</vt:lpstr>
      <vt:lpstr>Ws</vt:lpstr>
      <vt:lpstr>z_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Helmut Hoffrichter</cp:lastModifiedBy>
  <dcterms:created xsi:type="dcterms:W3CDTF">2018-01-04T14:37:05Z</dcterms:created>
  <dcterms:modified xsi:type="dcterms:W3CDTF">2025-12-20T13:22:34Z</dcterms:modified>
</cp:coreProperties>
</file>